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efrag-my.sharepoint.com/personal/mathias_mingazzini_efrag_org/Documents/Desktop/Repository folder/Digital-Template-to-XBRL-Converter/digital-templates/"/>
    </mc:Choice>
  </mc:AlternateContent>
  <xr:revisionPtr revIDLastSave="3132" documentId="8_{8F8C91A4-9BAF-480E-93C6-D7EABA290476}" xr6:coauthVersionLast="47" xr6:coauthVersionMax="47" xr10:uidLastSave="{EF6CDEEA-03BB-4321-9A98-34780AB46BFB}"/>
  <bookViews>
    <workbookView xWindow="-110" yWindow="-110" windowWidth="19420" windowHeight="11500" tabRatio="672" xr2:uid="{2424E359-BB1A-4C61-AEBD-805991FC6353}"/>
  </bookViews>
  <sheets>
    <sheet name="Introduction" sheetId="4" r:id="rId1"/>
    <sheet name="Table of Contents &amp; Validation" sheetId="16" r:id="rId2"/>
    <sheet name="General Information" sheetId="3" r:id="rId3"/>
    <sheet name="Environmental Disclosures" sheetId="1" r:id="rId4"/>
    <sheet name="Social Disclosures" sheetId="12" r:id="rId5"/>
    <sheet name="Governance Disclosures" sheetId="7" r:id="rId6"/>
    <sheet name="Fuel Converter" sheetId="8" r:id="rId7"/>
    <sheet name="Fuel Conversion Parameters" sheetId="15" r:id="rId8"/>
    <sheet name="Unit Of Measurement Converter" sheetId="9" r:id="rId9"/>
    <sheet name="Licence" sheetId="14" r:id="rId10"/>
    <sheet name="Enumeration Lists" sheetId="6" r:id="rId11"/>
    <sheet name="Translations" sheetId="17" r:id="rId12"/>
    <sheet name="Technical Sheet" sheetId="11" r:id="rId13"/>
  </sheets>
  <definedNames>
    <definedName name="_xlnm._FilterDatabase" localSheetId="11" hidden="1">Translations!$A$1:$B$407</definedName>
    <definedName name="AddressOfSite">'General Information'!$D$109:$D$133</definedName>
    <definedName name="AmountOfEmissionsTable">'Environmental Disclosures'!$D$80:$K$119</definedName>
    <definedName name="AmountOfEmissionToAir">'Environmental Disclosures'!$G$80:$I$119</definedName>
    <definedName name="AmountOfEmissionToAir_unit">'Environmental Disclosures'!$C$78</definedName>
    <definedName name="AmountOfEmissionToSoil">'Environmental Disclosures'!$K$80:$K$119</definedName>
    <definedName name="AmountOfEmissionToSoil_unit">'Environmental Disclosures'!$C$78</definedName>
    <definedName name="AmountOfEmissionToWater">'Environmental Disclosures'!$J$80:$J$119</definedName>
    <definedName name="AmountOfEmissionToWater_unit">'Environmental Disclosures'!$C$78</definedName>
    <definedName name="AmountOfWaterWithdrawnAtSitesLocatedInAreasOfHighWaterStress">'Environmental Disclosures'!$D$170</definedName>
    <definedName name="AreaOfSiteInBiodiversitySensitiveArea">'Environmental Disclosures'!$G$128:$I$153</definedName>
    <definedName name="AreaOfSiteInBiodiversitySensitiveArea_unit">'Environmental Disclosures'!$C$126</definedName>
    <definedName name="Assets">'General Information'!$E$60</definedName>
    <definedName name="AverageNumberOfAnnualTrainingHoursPerFemaleEmployee">'Social Disclosures'!$D$68</definedName>
    <definedName name="AverageNumberOfAnnualTrainingHoursPerMaleEmployee">'Social Disclosures'!$D$67</definedName>
    <definedName name="AverageNumberOfAnnualTrainingHoursPerNonReportedGenderEmployee">'Social Disclosures'!$D$70</definedName>
    <definedName name="AverageNumberOfAnnualTrainingHoursPerOtherGenderEmployee">'Social Disclosures'!$D$69</definedName>
    <definedName name="BaselineYearMember">'Environmental Disclosures'!$G$21</definedName>
    <definedName name="BasisForPreparation">'General Information'!$E$32</definedName>
    <definedName name="BasisForReporting">'General Information'!$E$42</definedName>
    <definedName name="BreakdownOfAnnualMassFlowOfRelevantMaterialsUsedByTheUndertakingHypercube">'Environmental Disclosures'!$C$216:$I$230</definedName>
    <definedName name="BreakdownOfEnergyConsumptionAxis">'Environmental Disclosures'!$C$12:$F$14</definedName>
    <definedName name="BreakdownOfEnergyConsumptionTable">'Environmental Disclosures'!$G$12:$K$14</definedName>
    <definedName name="CityOfSite">'General Information'!$F$109:$F$133</definedName>
    <definedName name="CountryOfEmploymentContractAxis">'Social Disclosures'!$C$29:$D$38</definedName>
    <definedName name="CountryOfPrimaryOperationsAndLocationOfSignificantAssets">'General Information'!$E$65</definedName>
    <definedName name="CountryOfSite">'General Information'!$G$109:$G$133</definedName>
    <definedName name="DateOfAdoptionOfTransitionPlanForUndertakingNotHavingAdoptedTransitionPlanYet">'Environmental Disclosures'!$D$62</definedName>
    <definedName name="DescriptionOfActionsTakeToAddressTheConfirmedIncidents">'Social Disclosures'!$D$102</definedName>
    <definedName name="DescriptionOfATargetRelatedToAPolicy">'General Information'!$E$150</definedName>
    <definedName name="DescriptionOfATransitionPlanForClimateChangeMitigationIncludingAnExplanationOfHowItIsContributingToReduceGhgEmissions">'Environmental Disclosures'!$D$58</definedName>
    <definedName name="DescriptionOfClimateRelatedHazardsAndClimateRelatedTransitionEvents">'Environmental Disclosures'!$E$236</definedName>
    <definedName name="DescriptionOfHowCircularEconomyPrinciplesAreApplied">'Environmental Disclosures'!$D$183</definedName>
    <definedName name="DescriptionOfKeyElementsOfStrategyThatRelatesToOrAffectsSustainabilityIssues">'General Information'!$E$161</definedName>
    <definedName name="DescriptionOfLimitsToTheDistributionOfProfitsConnectedToTheMutualisticNatureOrToTheNatureOfTheActivitiesConsistingInServicesOfGeneralEconomicInterestSGEI">'General Information'!$D$146</definedName>
    <definedName name="DescriptionOfMainBusinessRelationships">'General Information'!$E$157</definedName>
    <definedName name="DescriptionOfPracticesPoliciesAndOrFutureInitiatives">'General Information'!$E$149</definedName>
    <definedName name="DescriptionOfSignificantGroupsOfProductsAndOrServicesOffered">'General Information'!$E$155</definedName>
    <definedName name="DescriptionOfSignificantMarketsTheUndertakingOperatesIn">'General Information'!$E$156</definedName>
    <definedName name="DescriptionOfSustainabilityRelatedCertificationsOrLabels">'General Information'!$E$100</definedName>
    <definedName name="DescriptionOfTheEffectiveParticipationOfWorkersUsersOrOtherInterestedPartiesOrCommunitiesInGovernance">'General Information'!$D$144</definedName>
    <definedName name="DisclosureOfAnyOtherEnvironmentalAndOrEntitySpecificEnvironmentalDisclosures">'Environmental Disclosures'!$C$244</definedName>
    <definedName name="DisclosureOfAnyOtherGeneralAndOrEntitySpecificInformation">'General Information'!$C$165</definedName>
    <definedName name="DisclosureOfAnyOtherGovernanceAndOrEntitySpecificGovernanceDisclosures">'Governance Disclosures'!$C$38</definedName>
    <definedName name="DisclosureOfAnyOtherSocialAndOrEntitySpecificSocialDisclosures">'Social Disclosures'!$C$110</definedName>
    <definedName name="DisclosureOfHowItHasAssessedTheExposureAndSensitivityOfItsAssetsActivitiesAndValueChainToTheseHazardsAndTransitionEvents">'Environmental Disclosures'!$E$237</definedName>
    <definedName name="DisclosureOfListOfMainActionsTheEntitySeeksInOrderToAchieveItsTargets">'Environmental Disclosures'!$C$52</definedName>
    <definedName name="DisclosureOfWhetherItHasUndertakenClimateChangeAdaptationActionsForAnyClimateRelatedHazardsAndTransitionEvents">'Environmental Disclosures'!$E$239</definedName>
    <definedName name="EmployeeCountingMethodology">'General Information'!$E$63</definedName>
    <definedName name="EmployeesReceivePayEqualOrAboveMinimumWageDeterminedByNationalLawOrCollectiveAgreement">'Social Disclosures'!$D$57</definedName>
    <definedName name="EmployeeTurnoverRate">'Social Disclosures'!$D$47</definedName>
    <definedName name="EnergyConsumptionFromElectricity_NonRenewableEnergyMember">'Environmental Disclosures'!$J$12</definedName>
    <definedName name="EnergyConsumptionFromElectricity_RenewableEnergyMember">'Environmental Disclosures'!$G$12</definedName>
    <definedName name="EnergyConsumptionFromElectricity_TotalRenewableAndNonRenewableEnergyMember">'Environmental Disclosures'!$K$12</definedName>
    <definedName name="EnergyConsumptionFromFuels_NonRenewableEnergyMember">'Environmental Disclosures'!$J$14</definedName>
    <definedName name="EnergyConsumptionFromFuels_RenewableEnergyMember">'Environmental Disclosures'!$G$14</definedName>
    <definedName name="EnergyConsumptionFromFuels_TotalRenewableAndNonRenewableEnergyMember">'Environmental Disclosures'!$K$14</definedName>
    <definedName name="EnergyConsumptionFromSelfGeneratedElectricity_NonRenewableEnergyMember">'Environmental Disclosures'!$J$13</definedName>
    <definedName name="EnergyConsumptionFromSelfGeneratedElectricity_RenewableEnergyMember">'Environmental Disclosures'!$G$13</definedName>
    <definedName name="EnergyConsumptionFromSelfGeneratedElectricity_TotalRenewableAndNonRenewableEnergyMember">'Environmental Disclosures'!$K$13</definedName>
    <definedName name="enum_B2">'Enumeration Lists'!$R$2:$R$4</definedName>
    <definedName name="enum_employee_methodology">'Enumeration Lists'!$AB$2:$AB$3</definedName>
    <definedName name="enum_ImplementationStatus">'Enumeration Lists'!$U$2:$U$3</definedName>
    <definedName name="enum_ListBiodiversityArea">'Enumeration Lists'!$J$2:$J$3</definedName>
    <definedName name="enum_ListCountiesCode">'Enumeration Lists'!$G$2:$G$257</definedName>
    <definedName name="enum_ListCountriesName">'Enumeration Lists'!$E$2:$E$257</definedName>
    <definedName name="enum_ListDays">'Enumeration Lists'!$AC$2:$AC$32</definedName>
    <definedName name="enum_ListDensity">'Fuel Conversion Parameters'!$K$2:$K$9</definedName>
    <definedName name="enum_ListEnergy">'Fuel Conversion Parameters'!$I$2:$I$3</definedName>
    <definedName name="enum_ListFuel">'Fuel Conversion Parameters'!$A$2:$A$61</definedName>
    <definedName name="enum_ListHectM2">'Enumeration Lists'!$P$2:$P$3</definedName>
    <definedName name="enum_ListIdentifier">'Enumeration Lists'!$AD$2:$AD$5</definedName>
    <definedName name="enum_ListLegalForms">'Enumeration Lists'!$L$2:$L$6</definedName>
    <definedName name="enum_ListMass">'Fuel Conversion Parameters'!$G$2:$G$5</definedName>
    <definedName name="enum_ListMediumOfRelease">'Enumeration Lists'!$N$2:$N$4</definedName>
    <definedName name="enum_ListMonth">'Enumeration Lists'!$T$2:$T$13</definedName>
    <definedName name="enum_ListNACECategories">'Enumeration Lists'!$C$2:$C$399</definedName>
    <definedName name="enum_ListNACECode">'Enumeration Lists'!$A$3:$A$1049</definedName>
    <definedName name="enum_ListNACETechnicalName">'Enumeration Lists'!$D$3:$D$1049</definedName>
    <definedName name="enum_ListNCV">'Fuel Conversion Parameters'!$U$2:$U$13</definedName>
    <definedName name="enum_ListOfCurrencies">'Enumeration Lists'!$AA$2:$AA$170</definedName>
    <definedName name="enum_ListOfFutureYears">'Enumeration Lists'!$S$26:$S$102</definedName>
    <definedName name="enum_ListOfPastYears">'Enumeration Lists'!$S$2:$S$26</definedName>
    <definedName name="enum_ListOmittedDisclosures">'Enumeration Lists'!$V$2:$V$21</definedName>
    <definedName name="enum_ListOmittedDisclosuresWithNone">'Enumeration Lists'!$H$2:$H$22</definedName>
    <definedName name="enum_ListPollutants">'Enumeration Lists'!$I$2:$I$95</definedName>
    <definedName name="enum_ListRenewabilityState">'Fuel Conversion Parameters'!$AX$2:$AX$4</definedName>
    <definedName name="enum_ListStateOfMatter">'Fuel Conversion Parameters'!$AW$2:$AW$5</definedName>
    <definedName name="enum_ListSustainabilityIssues">'Enumeration Lists'!$O$2:$O$12</definedName>
    <definedName name="enum_ListTypeOfWastes">'Enumeration Lists'!$K$2:$K$974</definedName>
    <definedName name="enum_ListUnitMeasurement">'Enumeration Lists'!$M$2:$M$4</definedName>
    <definedName name="enum_ListUnitMeasurement_mass_only">'Enumeration Lists'!$Y$2:$Y$3</definedName>
    <definedName name="enum_ListVolume">'Fuel Conversion Parameters'!$H$2:$H$3</definedName>
    <definedName name="enum_ListVolumeMass">'Fuel Conversion Parameters'!$J$2:$J$7</definedName>
    <definedName name="enum_ListWasteCategories">'Enumeration Lists'!$Z$2:$Z$133</definedName>
    <definedName name="enum_ListYear">'Enumeration Lists'!$S$2:$S$102</definedName>
    <definedName name="enum_ListYesNo">'Enumeration Lists'!$Q$2:$Q$3</definedName>
    <definedName name="FemaleToMaleRatioAtManagementLevelForTheReportingPeriod">'Social Disclosures'!$D$77</definedName>
    <definedName name="FinancialInvestmentInTheCapitalOrAssetsOfSocialEconomyEntities">'General Information'!$D$145</definedName>
    <definedName name="GenderDiversityRatioInGovernanceBody">'Governance Disclosures'!$H$33</definedName>
    <definedName name="GPSLocationOfSite">'General Information'!$H$109:$H$133</definedName>
    <definedName name="GreenhouseGasEmissionReductionTargetBaseYear">'Environmental Disclosures'!$G$21</definedName>
    <definedName name="GreenhouseGasEmissionReductionTargetYear">'Environmental Disclosures'!$J$21</definedName>
    <definedName name="GrossLocationBasedScope2GreenhouseGasEmissions">'Environmental Disclosures'!$D$23</definedName>
    <definedName name="GrossLocationBasedScope2GreenhouseGasEmissions_BaselineYearMember">'Environmental Disclosures'!$G$23</definedName>
    <definedName name="GrossLocationBasedScope2GreenhouseGasEmissions_TargetYearMember">'Environmental Disclosures'!$J$23</definedName>
    <definedName name="GrossMarketBasedScope2GreenhouseGasEmissions">'Environmental Disclosures'!$D$24</definedName>
    <definedName name="GrossMarketBasedScope2GreenhouseGasEmissions_BaselineYearMember">'Environmental Disclosures'!$G$24</definedName>
    <definedName name="GrossMarketBasedScope2GreenhouseGasEmissions_TargetYearMember">'Environmental Disclosures'!$J$24</definedName>
    <definedName name="GrossScope1GreenhouseGasEmissions">'Environmental Disclosures'!$D$22</definedName>
    <definedName name="GrossScope1GreenhouseGasEmissions_BaselineYearMember">'Environmental Disclosures'!$G$22</definedName>
    <definedName name="GrossScope1GreenhouseGasEmissions_TargetYearMember">'Environmental Disclosures'!$J$22</definedName>
    <definedName name="GrossScope3GreenhouseGasEmissions_BaselineYearMember">'Environmental Disclosures'!$G$45</definedName>
    <definedName name="GrossScope3GreenhouseGasEmissions_CurrentlyStatedMember">'Environmental Disclosures'!$D$45</definedName>
    <definedName name="GrossScope3GreenhouseGasEmissions_TargetYearMember">'Environmental Disclosures'!$J$45</definedName>
    <definedName name="IdentifierOfMaterialTypedAxis">'Environmental Disclosures'!$C$216:$C$230</definedName>
    <definedName name="IdentifierOfSitesInBiodiversitySensitiveAreasTypedAxis">'Environmental Disclosures'!$C$128:$C$153</definedName>
    <definedName name="IdentifierOfSiteTypedAxis">'General Information'!$C$109:$C$133</definedName>
    <definedName name="IdentifierOfSubsidiaryTypedAxis">'General Information'!$C$70:$C$94</definedName>
    <definedName name="LinkToPreviousReportContainingDisclosuresThatRemainUnchanged">'General Information'!$E$29</definedName>
    <definedName name="ListOfDisclosuresForWhichNoChangesAreReportedComparedToThePreviousPeriodReporting">'General Information'!$E$19:$E$28</definedName>
    <definedName name="ListOfOmittedDisclosuresDeemedToBeClassifiedOrSensitiveInformation">'General Information'!$E$33:$E$41</definedName>
    <definedName name="ListOfSitesTable">'General Information'!$C$109:$H$133</definedName>
    <definedName name="ListOfSubsidiaryTable">'General Information'!$C$70:$E$94</definedName>
    <definedName name="MostSeniorLevelAccountableForImplementationOfPolicies">'General Information'!$E$151</definedName>
    <definedName name="NaceSectorClassificationCodes">'General Information'!$E$45:$E$59</definedName>
    <definedName name="NameOfMaterialUsed">'Environmental Disclosures'!$D$216:$F$230</definedName>
    <definedName name="NameOfTheSubsidiary">'General Information'!$D$70:$D$94</definedName>
    <definedName name="NumberOfEmployees">'General Information'!$E$62</definedName>
    <definedName name="NumberOfEmployeesForCountryOfEmploymentContract">'Social Disclosures'!$E$29:$H$38</definedName>
    <definedName name="NumberOfEmployeesForCountryOfEmploymentContractTable">'Social Disclosures'!$C$29:$H$38</definedName>
    <definedName name="NumberOfFatalitiesAsAResultOfWorkRelatedInjuriesAndWorkRelatedIllHealth">'Social Disclosures'!$D$54</definedName>
    <definedName name="NumberOfFemaleEmployees">'Social Disclosures'!$D$19</definedName>
    <definedName name="NumberOfMaleEmployees">'Social Disclosures'!$D$18</definedName>
    <definedName name="NumberOfNonReportedGenderEmployees">'Social Disclosures'!$D$21</definedName>
    <definedName name="NumberOfOtherGenderEmployees">'Social Disclosures'!$D$20</definedName>
    <definedName name="NumberOfPermanentContractEmployees">'Social Disclosures'!$D$10</definedName>
    <definedName name="NumberOfRecordableWorkRelatedAccidentsInTheReportingPeriod">'Social Disclosures'!$D$50</definedName>
    <definedName name="NumberOfTemporaryContractEmployees">'Social Disclosures'!$D$11</definedName>
    <definedName name="OtherUndertakingsLegalForm">'General Information'!$E$44</definedName>
    <definedName name="PercentageGapInPayBetweenFemaleAndMaleEmployees">'Social Disclosures'!$D$60</definedName>
    <definedName name="PercentageOfEmployeesCoveredByCollectiveBargainingAgreements">'Social Disclosures'!$D$62</definedName>
    <definedName name="PostalCodeOfSite">'General Information'!$E$109:$E$133</definedName>
    <definedName name="PotentialAdverseEffectsOfClimateRisksThatMayAffectItsFinancialPerformanceOrBusinessOperationsInTheShortMediumOrLongTermIndicatingWhetherItAssessesTheRisksToBeHighMediumOrLow">'Environmental Disclosures'!$E$240</definedName>
    <definedName name="PracticePolicyAndOrFutureInitiativeIsPubliclyAvailable">'General Information'!$N$140</definedName>
    <definedName name="PubliclyAvailableDisclosure">'Environmental Disclosures'!$G$75</definedName>
    <definedName name="RateOfRecordableWorkRelatedAccidentsInTheReportingPeriod">'Social Disclosures'!$D$53</definedName>
    <definedName name="RegisteredAddressOfTheSubsidiary">'General Information'!$E$70:$E$94</definedName>
    <definedName name="ReportContainsDisclosuresFromThePreviousReportingPeriodThatRemainUnchanged">'General Information'!$E$18</definedName>
    <definedName name="RevenueDerivedFromChemicalProduction">'Governance Disclosures'!$H$18</definedName>
    <definedName name="RevenueDerivedFromCoal">'Governance Disclosures'!$H$14</definedName>
    <definedName name="RevenueDerivedFromControversialWeaponsAntiPersonnelMinesClusterMunitionsChemicalWeaponsAndBiologicalWeapons">'Governance Disclosures'!$H$12</definedName>
    <definedName name="RevenueDerivedFromCultivationAndProductionOfTobacco">'Governance Disclosures'!$H$13</definedName>
    <definedName name="RevenueDerivedFromGas">'Governance Disclosures'!$H$16</definedName>
    <definedName name="RevenueDerivedFromOil">'Governance Disclosures'!$H$15</definedName>
    <definedName name="Scope1AndScope2GreenhouseGasEmissionsIntensityValueLocationBased">'Environmental Disclosures'!$G$66</definedName>
    <definedName name="Scope1AndScope2GreenhouseGasEmissionsIntensityValueMarketBased">'Environmental Disclosures'!$G$67</definedName>
    <definedName name="SiteLocatedInABiodiversitySensitiveArea">'Environmental Disclosures'!$J$128:$J$153</definedName>
    <definedName name="SiteLocatedNearABiodiversitySensitiveArea">'Environmental Disclosures'!$K$128:$K$153</definedName>
    <definedName name="SitesInBiodiversitySensitiveAreasTable">'Environmental Disclosures'!$C$128:$K$153</definedName>
    <definedName name="SpecificationOfAnyConfirmedIncidentInvolvingWorkersInTheValueChainAffectedCommunitiesConsumersAndEndUsers">'Social Disclosures'!$D$104</definedName>
    <definedName name="SpecificationOfOtherHumanRightsRelatedToTheConfirmedIncident">'Social Disclosures'!$D$101</definedName>
    <definedName name="SpecificationOfOtherTypesOfContentCoveredByTheCodeOfConductOrHumanRightsPolicy">'Social Disclosures'!$D$90</definedName>
    <definedName name="SustainabilityIssueAddressedByPracticePolicyAndOrFutureInitiative">'General Information'!$D$140:$M$140</definedName>
    <definedName name="TargetYearMember">'Environmental Disclosures'!$J$21</definedName>
    <definedName name="template_b1_basis_for_preparation_and_other_undertakings_general_information">'General Information'!$C$31</definedName>
    <definedName name="template_b1_disclosure_of_sustainability_related_certifications_or_labels">'General Information'!$C$96</definedName>
    <definedName name="template_b1_list_of_sites">'General Information'!$C$102</definedName>
    <definedName name="template_b1_list_of_subsidiaries">'General Information'!$C$67</definedName>
    <definedName name="template_b10_workforce_remuneration_collective_bargaining_and_training">'Social Disclosures'!$C$56</definedName>
    <definedName name="template_b11_convictions_and_fines_for_corruption_and_bribery">'Governance Disclosures'!$C$2</definedName>
    <definedName name="template_b2_cooperative_specific_disclosures">'General Information'!$C$142</definedName>
    <definedName name="template_b2_practices_policies_and_future_initiatives_for_transitioning_towards_a_more_sustainable_economy">'General Information'!$C$135</definedName>
    <definedName name="template_b3_breakdown_of_energy_consumption_in_MWh">'Environmental Disclosures'!$C$7</definedName>
    <definedName name="template_b3_estimated_greenhouse_gas_emissions_considering_the_GHG_protocol_version_2004_in_tCO2e">'Environmental Disclosures'!$C$16</definedName>
    <definedName name="template_b3_greenhouse_gas_emission_intensity_per_turnover">'Environmental Disclosures'!$C$64</definedName>
    <definedName name="template_b3_total_energy_consumption_in_MWh">'Environmental Disclosures'!$C$2</definedName>
    <definedName name="template_b4_pollution_of_air_water_and_soil">'Environmental Disclosures'!$C$71</definedName>
    <definedName name="template_b5_biodiversity_land_use">'Environmental Disclosures'!$C$155</definedName>
    <definedName name="template_b5_sites_in_biodiversity_sensitive_areas">'Environmental Disclosures'!$C$121</definedName>
    <definedName name="template_b6_water_consumption">'Environmental Disclosures'!$C$172</definedName>
    <definedName name="template_b6_water_withdrawal">'Environmental Disclosures'!$C$166</definedName>
    <definedName name="template_b7_annual_mass_flow_of_relevant_materials_used">'Environmental Disclosures'!$C$211</definedName>
    <definedName name="template_b7_description_of_circular_economy_principles">'Environmental Disclosures'!$C$179</definedName>
    <definedName name="template_b7_waste_generated">'Environmental Disclosures'!$C$185</definedName>
    <definedName name="template_b8_workforce_general_characteristics_country_of_employment">'Social Disclosures'!$C$24</definedName>
    <definedName name="template_b8_workforce_general_characteristics_gender">'Social Disclosures'!$C$14</definedName>
    <definedName name="template_b8_workforce_general_characteristics_turnover_rate">'Social Disclosures'!$C$41</definedName>
    <definedName name="template_b8_workforce_general_characteristics_type_of_contract">'Social Disclosures'!$C$6</definedName>
    <definedName name="template_b9_workforce_health_and_safety">'Social Disclosures'!$C$49</definedName>
    <definedName name="template_c1_strategy_business_model_and_sustainability">'General Information'!$C$154</definedName>
    <definedName name="template_c2_description_of_practices_policies_and_future_initiatives_for_transitioning_towards_a_more_sustainable_economy">'General Information'!$C$148</definedName>
    <definedName name="template_c3_disclosure_of_list_of_main_actions_the_entity_seeks_in_order_to_achieve_its_targets">'Environmental Disclosures'!$C$49</definedName>
    <definedName name="template_c3_GHG_reduction_targets_in_tC02e">'Environmental Disclosures'!$G$16</definedName>
    <definedName name="template_c3_transition_plan_for_undertakings_operating_in_high_climate_impact_sectors">'Environmental Disclosures'!$C$55</definedName>
    <definedName name="template_c4_climate_risks">'Environmental Disclosures'!$C$234</definedName>
    <definedName name="template_c5_additional_general_workforce_characteristics">'Social Disclosures'!$C$74</definedName>
    <definedName name="template_c6_additional_own_workforce_information_human_rights_policies_and_processes">'Social Disclosures'!$C$81</definedName>
    <definedName name="template_c7_severe_negative_human_rights_incidents">'Social Disclosures'!$C$93</definedName>
    <definedName name="template_c8_exclusion_from_EU_reference_benchmarks">'Governance Disclosures'!$C$20</definedName>
    <definedName name="template_c8_revenues_from_certain_sectors">'Governance Disclosures'!$C$9</definedName>
    <definedName name="template_c9_gender_diversity_ratio_in_the_governance_body">'Governance Disclosures'!$C$29</definedName>
    <definedName name="template_currency">'General Information'!$D$5</definedName>
    <definedName name="template_disclosure_of_any_other_environmental_and_or_entity_specific_enviromental_disclosures">'Environmental Disclosures'!$C$242</definedName>
    <definedName name="template_disclosure_of_any_other_general_and_or_entity_specific_information_on_the_reporting_period">'General Information'!$C$163</definedName>
    <definedName name="template_disclosure_of_any_other_governance_and_or_entity_specific_governance_disclosures">'Governance Disclosures'!$C$36</definedName>
    <definedName name="template_disclosure_of_any_other_social_and_or_entity_specific_social_disclosures">'Social Disclosures'!$C$108</definedName>
    <definedName name="template_ending_date_display">'Technical Sheet'!$B$3</definedName>
    <definedName name="template_FUEL_CONVERTER">'Fuel Converter'!$A$1</definedName>
    <definedName name="template_further_notes">'Fuel Converter'!$A$36</definedName>
    <definedName name="template_information_on_previous_reporting_period">'General Information'!$C$16</definedName>
    <definedName name="template_information_on_the_report_necessary_for_XBRL">'General Information'!$C$2</definedName>
    <definedName name="template_label_0_provide_information_that_is_mandatory_in_order_to_generate_the_vsme_and_xbrl_report">Translations!$B$26</definedName>
    <definedName name="template_label_1_fill_in_the_disclosures_on_the_four_worksheets">Translations!$B$27</definedName>
    <definedName name="template_label_1_in_cell_a9_select_the_fuel_used_searching_for_it_or_scrolling_down_the_list_displayed_clicking_the_cell">Translations!$B$420</definedName>
    <definedName name="template_label_1_in_the_cell_b5_of_the_table_related_to_the_unit_of_measurement_of_mass_converter">Translations!$B$453</definedName>
    <definedName name="template_label_1_percent_or_more_of_their_revenues_from_exploration_mining_extraction_distribution_or_refining_of_hard_coal_and_lignite">Translations!$B$396</definedName>
    <definedName name="template_label_1_purchased_goods_and_services">Translations!$B$223</definedName>
    <definedName name="template_label_10_further_notes_can_be_found_below">Translations!$B$429</definedName>
    <definedName name="template_label_10_percent_or_more_of_their_revenues_from_the_exploration_extraction_distribution_or_refining_of_oil_fuels">Translations!$B$397</definedName>
    <definedName name="template_label_10_processing_of_sold_products">Translations!$B$232</definedName>
    <definedName name="template_label_11_use_of_sold_products">Translations!$B$233</definedName>
    <definedName name="template_label_12_end_of_life_treatment_of_sold_products">Translations!$B$234</definedName>
    <definedName name="template_label_13_downstream_leased_assets">Translations!$B$235</definedName>
    <definedName name="template_label_14_franchises">Translations!$B$236</definedName>
    <definedName name="template_label_15_investments">Translations!$B$237</definedName>
    <definedName name="template_label_2_capital_goods">Translations!$B$224</definedName>
    <definedName name="template_label_2_find_more_information_on_the_actual_disclosure_requirements_in_the_vsme_standard">Translations!$B$28</definedName>
    <definedName name="template_label_2_in_cell_b9_select_the_unit_of_measurement_used">Translations!$B$421</definedName>
    <definedName name="template_label_2_then_in_the_cell_b6_the_amount_of_mass_can_be_inserted">Translations!$B$454</definedName>
    <definedName name="template_label_3_finally_in_the_cell_d5_there_should_be_the_unit_of_measurement_of_interest">Translations!$B$455</definedName>
    <definedName name="template_label_3_for_open_tables_like_the_list_of_subsidizers_sites_please_expand_the_groups_by_clicking_the_plus">Translations!$B$29</definedName>
    <definedName name="template_label_3_fuel__and_energy_related_activities">Translations!$B$225</definedName>
    <definedName name="template_label_3_in_cell_c9_select_the_amount_of_fuel_used">Translations!$B$422</definedName>
    <definedName name="template_label_4_in_cell_d9_it_is_displayed_the_state_of_matter_for_the_fuel_selected">Translations!$B$423</definedName>
    <definedName name="template_label_4_the_outcome_of_the_conversion_will_be_displayed_in_the_cell_d6">Translations!$B$456</definedName>
    <definedName name="template_label_4_upstream_transportation_and_distribution">Translations!$B$226</definedName>
    <definedName name="template_label_4_validate_the_data_entered_by_checking_the_validation_status">Translations!$B$30</definedName>
    <definedName name="template_label_5_convert_this_template_to_an_inline_xbrl_report">Translations!$B$31</definedName>
    <definedName name="template_label_5_in_cell_e9_it_is_displayed_the_typical_renewability_state_for_the_fuel_selected">Translations!$B$424</definedName>
    <definedName name="template_label_5_waste_generated_in_operations">Translations!$B$227</definedName>
    <definedName name="template_label_50_percent_or_more_of_their_revenues_from_electricity_generation">Translations!$B$399</definedName>
    <definedName name="template_label_50_percent_or_more_of_their_revenues_from_the_exploration_extraction_manufacturing_or_distribution_of_gaseous_fuels">Translations!$B$398</definedName>
    <definedName name="template_label_6_business_travel">Translations!$B$228</definedName>
    <definedName name="template_label_6_in_cell_f9_is_displayed_the_energy_produced_in_mega_watt_hours_by_the_amount_of_fuel_specified">Translations!$B$425</definedName>
    <definedName name="template_label_6_the_undertaking_may_also_upload_the_report_to_public_repositories_or_a_webpage">Translations!$B$32</definedName>
    <definedName name="template_label_7_employee_commuting">Translations!$B$229</definedName>
    <definedName name="template_label_7_in_cell_a28_is_displayed_the_total_energy_in_mega_watt_hours">Translations!$B$426</definedName>
    <definedName name="template_label_8_in_cell_a31_is_displayed_the_total_renewable_energy_in_mega_watt_hours">Translations!$B$427</definedName>
    <definedName name="template_label_8_upstream_leased_assets">Translations!$B$230</definedName>
    <definedName name="template_label_9_downstream_transportation_and_distribution">Translations!$B$231</definedName>
    <definedName name="template_label_9_in_cell_b31_is_displayed_the_total_nonrenewable_energy_in_mega_watt_hours">Translations!$B$428</definedName>
    <definedName name="template_label_accident_prevention">Translations!$B$368</definedName>
    <definedName name="template_label_additional_disclosures_validation">Translations!$B$109</definedName>
    <definedName name="template_label_additional_rows_warning">Translations!$B$480</definedName>
    <definedName name="template_label_additionally_users_are_encouraged_to_determine_the_renewability_status_of_each_fuel_based_on_guarantees_of_origin">Translations!$B$412</definedName>
    <definedName name="template_label_address">Translations!$B$163</definedName>
    <definedName name="template_label_affected_communities">Translations!$B$181</definedName>
    <definedName name="template_label_always_to_be_reported">Translations!$B$119</definedName>
    <definedName name="template_label_always_to_be_reported_if_applicable">Translations!$B$123</definedName>
    <definedName name="template_label_amount">Translations!$B$415</definedName>
    <definedName name="template_label_amount_in">Translations!$B$125</definedName>
    <definedName name="template_label_amount_of_water_withdrawn_at_sites_located_in_areas_of_high_water_stress">Translations!$B$282</definedName>
    <definedName name="template_label_annual_mass_flow_of_relevant_materials_used_validation">Translations!$B$83</definedName>
    <definedName name="template_label_area">Translations!$B$275</definedName>
    <definedName name="template_label_area_hectares_or_m2">Translations!$B$270</definedName>
    <definedName name="template_label_at">Translations!$B$118</definedName>
    <definedName name="template_label_automatic_geolocation">Translations!$B$168</definedName>
    <definedName name="template_label_average_gross_hourly_pay_level_of_female_employees">Translations!$B$349</definedName>
    <definedName name="template_label_average_gross_hourly_pay_level_of_male_employees">Translations!$B$348</definedName>
    <definedName name="template_label_average_number_of_annual_training_hours_per_employee">Translations!$B$354</definedName>
    <definedName name="template_label_b1_basis_for_preparation_and_other_undertakings_general_information">Translations!$B$142</definedName>
    <definedName name="template_label_b1_basis_for_preparation_validation">Translations!$B$59</definedName>
    <definedName name="template_label_b1_disclosure_of_sustainability_related_certification_or_label">Translations!$B$159</definedName>
    <definedName name="template_label_b1_list_of_site">Translations!$B$162</definedName>
    <definedName name="template_label_b1_list_of_subsidiaries">Translations!$B$155</definedName>
    <definedName name="template_label_b10_workforce_remuneration_collective_bargaining_and_training">Translations!$B$346</definedName>
    <definedName name="template_label_b10_workforce_remuneration_collective_bargaining_and_training_validation">Translations!$B$91</definedName>
    <definedName name="template_label_b11_convictions_and_fines_for_corruption_and_bribery">Translations!$B$380</definedName>
    <definedName name="template_label_b11_convictions_and_fines_for_corruption_and_bribery_validation">Translations!$B$93</definedName>
    <definedName name="template_label_b2_cooperative_specific_disclosures">Translations!$B$184</definedName>
    <definedName name="template_label_b2_practices_policies_and_future_initiatives_for_transitioning_towards_a_more_sustainable_economy">Translations!$B$169</definedName>
    <definedName name="template_label_b2_practices_policies_and_future_initiatives_for_transitioning_towards_a_more_sustainable_economy_validation">Translations!$B$64</definedName>
    <definedName name="template_label_b3_breakdown_of_energy_consumption">Translations!$B$201</definedName>
    <definedName name="template_label_b3_energy_and_greenhouse_gas_emissions_validation">Translations!$B$68</definedName>
    <definedName name="template_label_b3_estimated_greenhouse_gas_emissions">Translations!$B$209</definedName>
    <definedName name="template_label_b3_greenhouse_gas_emission_intensity_per_turnover">Translations!$B$250</definedName>
    <definedName name="template_label_b3_total_energy_consumption">Translations!$B$199</definedName>
    <definedName name="template_label_b4_pollution_of_air_water_and_soil">Translations!$B$255</definedName>
    <definedName name="template_label_b4_pollution_of_air_water_and_soil_validation">Translations!$B$73</definedName>
    <definedName name="template_label_b5_biodiversity_land_use">Translations!$B$273</definedName>
    <definedName name="template_label_b5_biodiversity_validation">Translations!$B$74</definedName>
    <definedName name="template_label_b5_sites_in_biodiversity_sensitive_areas">Translations!$B$265</definedName>
    <definedName name="template_label_b6_water_consumption">Translations!$B$283</definedName>
    <definedName name="template_label_b6_water_validation">Translations!$B$77</definedName>
    <definedName name="template_label_b6_water_withdrawal">Translations!$B$280</definedName>
    <definedName name="template_label_b7_annual_mass_flow_of_relevant_materials_used">Translations!$B$304</definedName>
    <definedName name="template_label_b7_description_of_circular_economy_principles">Translations!$B$287</definedName>
    <definedName name="template_label_b7_resource_use_circular_economy_and_waste_management_validation">Translations!$B$80</definedName>
    <definedName name="template_label_b7_waste_generated">Translations!$B$290</definedName>
    <definedName name="template_label_b8_workforce_general_characteristics_country_of_employment">Translations!$B$332</definedName>
    <definedName name="template_label_b8_workforce_general_characteristics_gender">Translations!$B$326</definedName>
    <definedName name="template_label_b8_workforce_general_characteristics_turnover_rate">Translations!$B$335</definedName>
    <definedName name="template_label_b8_workforce_general_characteristics_type_of_contract">Translations!$B$321</definedName>
    <definedName name="template_label_b8_workforce_general_characteristics_validation">Translations!$B$85</definedName>
    <definedName name="template_label_b9_workforce_health_and_safety">Translations!$B$340</definedName>
    <definedName name="template_label_b9_workforce_health_and_safety_validation">Translations!$B$90</definedName>
    <definedName name="template_label_base_year">Translations!$B$213</definedName>
    <definedName name="template_label_basic_module">Translations!$B$36</definedName>
    <definedName name="template_label_basic_module_validation">Translations!$B$58</definedName>
    <definedName name="template_label_basis_for_preparation">Translations!$B$143</definedName>
    <definedName name="template_label_basis_for_preparation_and_other_undertakings_general_information_validation">Translations!$B$60</definedName>
    <definedName name="template_label_basis_for_reporting">Translations!$B$145</definedName>
    <definedName name="template_label_below_are_specified_all_the_units_of_measurement_conversions_of_each_table">Translations!$B$458</definedName>
    <definedName name="template_label_biodiversity_and_ecosystems">Translations!$B$177</definedName>
    <definedName name="template_label_biodiversity_land_use_validation">Translations!$B$76</definedName>
    <definedName name="template_label_breakdown_of_energy_consumption_in_mwh_validation">Translations!$B$70</definedName>
    <definedName name="template_label_business_conduct">Translations!$B$183</definedName>
    <definedName name="template_label_c1_strategy_business_model_and_sustainability_related_initiatives">Translations!$B$192</definedName>
    <definedName name="template_label_c1_strategy_business_model_and_sustainability_related_initiatives_validation">Translations!$B$95</definedName>
    <definedName name="template_label_c2_description_of_practices_policies_and_future_initiatives_for_transitioning_towards_a_more_sustainable_economy">Translations!$B$188</definedName>
    <definedName name="template_label_c2_description_of_practices_policies_and_future_initiatives_for_transitioning_towards_a_more_sustainable_economy_validation">Translations!$B$96</definedName>
    <definedName name="template_label_c3_disclosure_of_list_of_main_actions_the_entity_seeks_in_order_to_achieve_its_targets">Translations!$B$241</definedName>
    <definedName name="template_label_c3_ghg_reduction_targets">Translations!$B$210</definedName>
    <definedName name="template_label_c3_ghg_reduction_targets_and_climate_transition_validation">Translations!$B$97</definedName>
    <definedName name="template_label_c3_transition_plan_for_undertakings_operating_in_high_climate_impact_sectors">Translations!$B$242</definedName>
    <definedName name="template_label_c4_climate_risks">Translations!$B$311</definedName>
    <definedName name="template_label_c4_climate_risks_validation">Translations!$B$101</definedName>
    <definedName name="template_label_c5_additional_general_workforce_characteristics_validation">Translations!$B$102</definedName>
    <definedName name="template_label_c5_additional_workforce_characteristics">Translations!$B$355</definedName>
    <definedName name="template_label_c6_additional_own_workforce_information_human_rights_policies_and_processes">Translations!$B$361</definedName>
    <definedName name="template_label_c6_additional_own_workforce_information_human_rights_policies_and_processes_validation">Translations!$B$103</definedName>
    <definedName name="template_label_c7_severe_negative_human_rights_incidents">Translations!$B$372</definedName>
    <definedName name="template_label_c7_severe_negative_human_rights_incidents_validation">Translations!$B$104</definedName>
    <definedName name="template_label_c8_exclusion_from_eu_reference_benchmarks">Translations!$B$394</definedName>
    <definedName name="template_label_c8_revenues_from_certain_sectors">Translations!$B$384</definedName>
    <definedName name="template_label_c8_revenues_from_certain_sectors_and_exclusion_from_eu_reference_benchmarks_validation">Translations!$B$105</definedName>
    <definedName name="template_label_c9_gender_diversity_ratio_in_the_governance_body">Translations!$B$402</definedName>
    <definedName name="template_label_c9_gender_diversity_ratio_in_the_governance_body_validation">Translations!$B$108</definedName>
    <definedName name="template_label_calculated_energy_in_mwh">Translations!$B$418</definedName>
    <definedName name="template_label_cell_background_color_index">Translations!$B$33</definedName>
    <definedName name="template_label_child_labour">Translations!$B$364</definedName>
    <definedName name="template_label_circular_economy">Translations!$B$178</definedName>
    <definedName name="template_label_city">Translations!$B$165</definedName>
    <definedName name="template_label_climate_change">Translations!$B$174</definedName>
    <definedName name="template_label_complete">Translations!$B$465</definedName>
    <definedName name="template_label_comprehensive_module">Translations!$B$38</definedName>
    <definedName name="template_label_comprehensive_module_validation">Translations!$B$94</definedName>
    <definedName name="template_label_consumers_and_endusers_validation">Translations!$B$182</definedName>
    <definedName name="template_label_contents_grouping_follows_templates_framework">Translations!$B$53</definedName>
    <definedName name="template_label_cooperative_specific_disclosures_validation">Translations!$B$66</definedName>
    <definedName name="template_label_country">Translations!$B$166</definedName>
    <definedName name="template_label_country_of_employment_contract">Translations!$B$333</definedName>
    <definedName name="template_label_country_of_employment_validation">Translations!$B$88</definedName>
    <definedName name="template_label_country_of_primary_operations_and_location_of_significant_asset">Translations!$B$154</definedName>
    <definedName name="template_label_cubic_meters">Translations!$B$301</definedName>
    <definedName name="template_label_currency_of_the_monetary_values_in_the_report">Translations!$B$129</definedName>
    <definedName name="template_label_current_reporting_period">Translations!$B$212</definedName>
    <definedName name="template_label_date_of_foreseen_adoption_of_transition_plan_for_undertaking_not_having_adopted_transition_plan_yet">Translations!$B$246</definedName>
    <definedName name="template_label_date_warning">Translations!$B$479</definedName>
    <definedName name="template_label_day">Translations!$B$249</definedName>
    <definedName name="template_label_decimal_separator_document_information">Translations!$B$8</definedName>
    <definedName name="template_label_description_of_a_practice_policy_and_or_future_initiative_towards_a_more_sustainable_future">Translations!$B$189</definedName>
    <definedName name="template_label_description_of_a_transition_plan_for_climate_change_mitigation">Translations!$B$245</definedName>
    <definedName name="template_label_description_of_actions_taken_to_address_the_confirmed_incidents">Translations!$B$376</definedName>
    <definedName name="template_label_description_of_circular_economy_principles_validation">Translations!$B$81</definedName>
    <definedName name="template_label_description_of_climate_related_hazards_and_climate_related_transition_events">Translations!$B$313</definedName>
    <definedName name="template_label_description_of_how_it_applies_these_principles">Translations!$B$289</definedName>
    <definedName name="template_label_description_of_main_business_relationships">Translations!$B$195</definedName>
    <definedName name="template_label_description_of_significant_groups_of_products_and_or_services_offered">Translations!$B$193</definedName>
    <definedName name="template_label_description_of_significant_market_the_undertaking_operates_in">Translations!$B$194</definedName>
    <definedName name="template_label_description_of_sustainability_related_certification_or_label">Translations!$B$161</definedName>
    <definedName name="template_label_description_of_target_related_to_a_policy">Translations!$B$190</definedName>
    <definedName name="template_label_description_of_those_key_elements_in_the_strategy_that_relate_or_affect_sustainability_issues">Translations!$B$197</definedName>
    <definedName name="template_label_disclaimer">Translations!$B$409</definedName>
    <definedName name="template_label_disclosure_of_any_other_environmental_and_or_entity_specific_environmental_disclosures">Translations!$B$318</definedName>
    <definedName name="template_label_disclosure_of_any_other_environmental_and_or_entity_specific_environmental_disclosures_validation">Translations!$B$111</definedName>
    <definedName name="template_label_disclosure_of_any_other_general_and_or_entity_specific_information_on_the_reporting_period">Translations!$B$198</definedName>
    <definedName name="template_label_disclosure_of_any_other_general_and_or_entity_specific_information_on_the_reporting_period_validation">Translations!$B$110</definedName>
    <definedName name="template_label_disclosure_of_any_other_governance_and_or_entity_specific_governance_disclosures">Translations!$B$407</definedName>
    <definedName name="template_label_disclosure_of_any_other_governance_and_or_entity_specific_governance_disclosures_validation">Translations!$B$113</definedName>
    <definedName name="template_label_disclosure_of_any_other_social_and_or_entity_specific_social_disclosures">Translations!$B$379</definedName>
    <definedName name="template_label_disclosure_of_any_other_social_and_or_entity_specific_social_disclosures_validation">Translations!$B$112</definedName>
    <definedName name="template_label_disclosure_of_how_it_has_assessed_the_exposure_and_sensitivity_of_its_assets">Translations!$B$314</definedName>
    <definedName name="template_label_disclosure_of_list_of_main_actions_the_entity_seeks_in_order_to_achieve_its_targets_validation">Translations!$B$99</definedName>
    <definedName name="template_label_disclosure_of_sustainability_related_certifications_or_labels_validation">Translations!$B$62</definedName>
    <definedName name="template_label_disclosure_of_whether_it_has_undertaken_climate_change_adaptation_actions">Translations!$B$316</definedName>
    <definedName name="template_label_disclosures_for_which_no_changes_are_reported_compared_to_the_previous_period_reporting">Translations!$B$140</definedName>
    <definedName name="template_label_disclosures_from_the_previous_reporting_period_that_remain_unchanged">Translations!$B$139</definedName>
    <definedName name="template_label_disclosures_related_to_reporting_period">Translations!$B$11</definedName>
    <definedName name="template_label_discrimination">Translations!$B$367</definedName>
    <definedName name="template_label_does_the_undertaking_have_a_code_of_conduct_or_human_rights_policy_for_its_own_workforce">Translations!$B$362</definedName>
    <definedName name="template_label_does_the_undertaking_have_a_complaint_handling_mechanism_for_its_own_workforce">Translations!$B$371</definedName>
    <definedName name="template_label_does_the_undertaking_have_a_governance_body_in_place">Translations!$B$403</definedName>
    <definedName name="template_label_does_the_undertaking_have_confirmed_incidents_in_its_own_workforce">Translations!$B$373</definedName>
    <definedName name="template_label_does_the_undertaking_have_production_processes_in_place_which_significantly_consume_water">Translations!$B$284</definedName>
    <definedName name="template_label_does_the_undertaking_have_sites_that_are_located_in_or_near_biodiversity_sensitive_areas">Translations!$B$266</definedName>
    <definedName name="template_label_does_the_undertaking_operate_in_a_sector_using_significant_material_flows">Translations!$B$305</definedName>
    <definedName name="template_label_each_expanded_fuel_converter_works_exactly_as_explained_above">Translations!#REF!</definedName>
    <definedName name="template_label_effective_participation_of_workers_users_or_other_interested_parties_or_communities_in_governance">Translations!$B$185</definedName>
    <definedName name="template_label_efrag_is_funded_by_the_european_union_through_the_single_market_programme">Translations!$B$49</definedName>
    <definedName name="template_label_electricity">Translations!$B$206</definedName>
    <definedName name="template_label_emission_to_air">Translations!$B$262</definedName>
    <definedName name="template_label_emission_to_soil">Translations!$B$264</definedName>
    <definedName name="template_label_emission_to_water">Translations!$B$263</definedName>
    <definedName name="template_label_employee_counting_methodology_end_of_reporting_period_or_average_during_the_reporting_period">Translations!$B$152</definedName>
    <definedName name="template_label_employee_counting_methodology_for_the_disclosures_below_headcount_full_time_equivalent">Translations!$B$319</definedName>
    <definedName name="template_label_employee_counting_methodology_for_the_disclosures_below_period">Translations!$B$320</definedName>
    <definedName name="template_label_employee_counting_methodology_headcount_or_fulltime_equivalent">Translations!$B$153</definedName>
    <definedName name="template_label_employee_turnover_rate_in_the_reporting_period">Translations!$B$339</definedName>
    <definedName name="template_label_employees_receive_pay_that_is_equal_or_above_applicable_minimum_wage">Translations!$B$347</definedName>
    <definedName name="template_label_ending_day">Translations!$B$136</definedName>
    <definedName name="template_label_ending_month">Translations!$B$135</definedName>
    <definedName name="template_label_ending_year">Translations!$B$134</definedName>
    <definedName name="template_label_energy_consumption_per_hour_in_mwh_for_gaseous_fuels">Translations!$B$441</definedName>
    <definedName name="template_label_energy_consumption_per_hour_in_mwh_for_liquid_fuels">Translations!$B$438</definedName>
    <definedName name="template_label_energy_consumption_per_hour_in_mwh_for_solid_fuels">Translations!$B$436</definedName>
    <definedName name="template_label_energy_consumption_warning">Translations!$B$484</definedName>
    <definedName name="template_label_energy_gaseous_fuels">Translations!$B$443</definedName>
    <definedName name="template_label_energy_liquid_fuels">Translations!$B$440</definedName>
    <definedName name="template_label_energy_solid_fuels">Translations!$B$437</definedName>
    <definedName name="template_label_entity_identifier_document_information">Translations!$B$5</definedName>
    <definedName name="template_label_entity_identifier_scheme_document_information">Translations!$B$6</definedName>
    <definedName name="template_label_entity_name_document_information">Translations!$B$4</definedName>
    <definedName name="template_label_environmental_disclosures_validation">Translations!$B$67</definedName>
    <definedName name="template_label_error">Translations!$B$467</definedName>
    <definedName name="template_label_error_plus_missing_value">Translations!$B$471</definedName>
    <definedName name="template_label_error_plus_missing_value_plus_value_inconsistency">Translations!$B$470</definedName>
    <definedName name="template_label_error_plus_value_inconsistency">Translations!$B$469</definedName>
    <definedName name="template_label_estimated_greenhouse_gas_emissions_considering_the_ghg_protocol_version_2004_in_tco2e_validation">Translations!$B$71</definedName>
    <definedName name="template_label_exclusion_from_eu_reference_benchmarks_validation">Translations!$B$107</definedName>
    <definedName name="template_label_female">Translations!$B$329</definedName>
    <definedName name="template_label_female_to_male_ratio_at_management_level_for_the_reporting_period">Translations!$B$358</definedName>
    <definedName name="template_label_financial_investment_in_the_capital_or_assets_of_social_economy_entities">Translations!$B$186</definedName>
    <definedName name="template_label_forced_labour">Translations!$B$365</definedName>
    <definedName name="template_label_from">Translations!$B$116</definedName>
    <definedName name="template_label_from_capital_case">Translations!$B$445</definedName>
    <definedName name="template_label_fuel_converter">Translations!$B$408</definedName>
    <definedName name="template_label_fuel_type">Translations!$B$414</definedName>
    <definedName name="template_label_fuels">Translations!$B$208</definedName>
    <definedName name="template_label_further_notes">Translations!$B$434</definedName>
    <definedName name="template_label_gaseous_warning">Translations!$B$477</definedName>
    <definedName name="template_label_gender">Translations!$B$327</definedName>
    <definedName name="template_label_gender_diversity_ratio_in_governance_body">Translations!$B$406</definedName>
    <definedName name="template_label_gender_validation">Translations!$B$87</definedName>
    <definedName name="template_label_general_information_validation">Translations!$B$55</definedName>
    <definedName name="template_label_general_principles">Translations!$B$34</definedName>
    <definedName name="template_label_geolocalisation_warning">Translations!$B$483</definedName>
    <definedName name="template_label_GHG_calculator">Translations!$B$490</definedName>
    <definedName name="template_label_ghg_reduction_targets_in_tc02e_validation">Translations!$B$98</definedName>
    <definedName name="template_label_governance_disclosures_validation">Translations!$B$92</definedName>
    <definedName name="template_label_gps_coordinates">Translations!$B$167</definedName>
    <definedName name="template_label_greenhouse_gas_emission_intensity_per_turnover_validation">Translations!$B$72</definedName>
    <definedName name="template_label_gross_scope_1_ghg_emissions">Translations!$B$217</definedName>
    <definedName name="template_label_gross_scope_2_location_based_ghg_emissions">Translations!$B$218</definedName>
    <definedName name="template_label_gross_scope_2_market_based_ghg_emissions">Translations!$B$219</definedName>
    <definedName name="template_label_has_the_strategy_key_elements_that_relate_to_or_affect_sustainability_issues">Translations!$B$196</definedName>
    <definedName name="template_label_has_the_undertaking_has_established_ghg_emission_reduction_targets">Translations!$B$211</definedName>
    <definedName name="template_label_has_the_undertaking_identified_climate_related_hazards_and_climate_related_transition_events">Translations!$B$312</definedName>
    <definedName name="template_label_has_the_undertaking_incurred_in_convictions_and_fines_in_the_reporting_period">Translations!$B$381</definedName>
    <definedName name="template_label_has_the_undertaking_obtained_any_sustainability_related_certification_or_label">Translations!$B$160</definedName>
    <definedName name="template_label_has_the_undertaking_obtained_the_necessary_information_to_provide_an_energy_consumption_breakdown">Translations!$B$202</definedName>
    <definedName name="template_label_has_the_undertaking_put_in_place_specific_practices_policies_and_or_future">Translations!$B$170</definedName>
    <definedName name="template_label_health_and_safety_formula_warning">Translations!$B$489</definedName>
    <definedName name="template_label_how_to_use_it">Translations!$B$25</definedName>
    <definedName name="template_label_human_trafficking">Translations!$B$366</definedName>
    <definedName name="template_label_id">Translations!$B$156</definedName>
    <definedName name="template_label_identifier_of_the_reporting_entity">Translations!$B$128</definedName>
    <definedName name="template_label_identifier_warning">Translations!$B$478</definedName>
    <definedName name="template_label_if_applicable">Translations!$B$120</definedName>
    <definedName name="template_label_if_applicable_linked_to_b2">Translations!$B$124</definedName>
    <definedName name="template_label_if_yes_are_incidents_related_to">Translations!$B$374</definedName>
    <definedName name="template_label_if_yes_does_this_cover">Translations!$B$363</definedName>
    <definedName name="template_label_incomplete">Translations!$B$464</definedName>
    <definedName name="template_label_indicates_that_data_entry_is_ok_and_the_undertaking_can_proceed_to_the_next_disclosure">Translations!$B$46</definedName>
    <definedName name="template_label_indicates_that_either_data_entry_is_incorrect_in_terms_of_format_or_that_certain_information">Translations!$B$44</definedName>
    <definedName name="template_label_indicates_that_no_data_entry_is_required_unless_certain_logics_are_selected_in_the_disclosure_itself">Translations!$B$42</definedName>
    <definedName name="template_label_indicates_that_the_cell_is_automatically_calculated_and_that_no_data_entry_is_required">Translations!$B$40</definedName>
    <definedName name="template_label_indicates_that_the_cell_should_be_filled_either_by_selecting_a_value_from_the_dropdown">Translations!$B$413</definedName>
    <definedName name="template_label_indicates_that_the_datapoint_often_a_condition_will_not_be_included_in_the_vsme_and_digital_xbrl_report">Translations!$B$41</definedName>
    <definedName name="template_label_indicates_that_the_disclosure_is_from_the_general_principles_of_the_vsme">Translations!$B$35</definedName>
    <definedName name="template_label_indicates_that_the_disclosure_is_from_the_vsme_basic_module">Translations!$B$37</definedName>
    <definedName name="template_label_indicates_that_the_disclosure_is_from_the_vsme_comprehensive_module">Translations!$B$39</definedName>
    <definedName name="template_label_information_on_previous_reporting_period">Translations!$B$138</definedName>
    <definedName name="template_label_information_on_previous_reporting_period_validation">Translations!$B$57</definedName>
    <definedName name="template_label_information_on_the_report_necessary_for_xbrl">Translations!$B$126</definedName>
    <definedName name="template_label_information_on_the_report_necessary_for_xbrl_validation">Translations!$B$56</definedName>
    <definedName name="template_label_invalid_url">Translations!$B$473</definedName>
    <definedName name="template_label_is_the_undertaking_aware_of_any_confirmed_incidents_involving_workers">Translations!$B$377</definedName>
    <definedName name="template_label_is_the_undertaking_deriving_revenues_from_one_of_the_activities_listed_below">Translations!$B$385</definedName>
    <definedName name="template_label_is_the_undertaking_disclosing_entity_specific_information_on_scope_3_emissions">Translations!$B$222</definedName>
    <definedName name="template_label_is_the_undertaking_operating_in_high_impact_sectors">Translations!$B$243</definedName>
    <definedName name="template_label_is_this_disclosure_already_publicly_available">Translations!$B$257</definedName>
    <definedName name="template_label_its_important_to_note_that_the_automatic_calculation_performed_by_the_fuel_converter_is_done_using_ncvs_and_densities">Translations!#REF!</definedName>
    <definedName name="template_label_just_in_case_the_solution_of_a_not_automatized_calculation_using_specific_values_is_preferred_to_the_one_of_the_converter">Translations!#REF!</definedName>
    <definedName name="template_label_kilograms">Translations!$B$309</definedName>
    <definedName name="template_label_land_use_type">Translations!$B$274</definedName>
    <definedName name="template_label_limits_to_the_distribution_of_profits">Translations!$B$187</definedName>
    <definedName name="template_label_link_to_previous_report_containing_disclosures_that_remain_unchanged">Translations!$B$141</definedName>
    <definedName name="template_label_liquid_warning">Translations!$B$475</definedName>
    <definedName name="template_label_list_of_omitted_disclosures_deemed_to_be_classified_or_sensitive_information">Translations!$B$144</definedName>
    <definedName name="template_label_list_of_sites_validation">Translations!$B$63</definedName>
    <definedName name="template_label_list_of_subsidiaries_validation">Translations!$B$61</definedName>
    <definedName name="template_label_lists_can_be_expanded_using_the_plus_button_on_the_left">Translations!$B$48</definedName>
    <definedName name="template_label_main_title_of_report_text">Translations!$B$20</definedName>
    <definedName name="template_label_male">Translations!$B$328</definedName>
    <definedName name="template_label_mass_gaseous_fuels">Translations!$B$442</definedName>
    <definedName name="template_label_mass_liquid_fuels">Translations!$B$439</definedName>
    <definedName name="template_label_mass_volume">Translations!$B$307</definedName>
    <definedName name="template_label_may">Translations!$B$121</definedName>
    <definedName name="template_label_may_not_headline">Translations!$B$122</definedName>
    <definedName name="template_label_missing_value">Translations!$B$466</definedName>
    <definedName name="template_label_missing_value_plus_value_inconsistency">Translations!$B$472</definedName>
    <definedName name="template_label_monetary_amount_in">Translations!$B$386</definedName>
    <definedName name="template_label_month">Translations!$B$248</definedName>
    <definedName name="template_label_most_senior_level_accountable_for_implementing_practices_policies_and_or_future_initiatives">Translations!$B$191</definedName>
    <definedName name="template_label_nace_sector_classification_code">Translations!$B$148</definedName>
    <definedName name="template_label_NACE_warning">Translations!$B$482</definedName>
    <definedName name="template_label_name">Translations!$B$157</definedName>
    <definedName name="template_label_name_of_the_key_material">Translations!$B$306</definedName>
    <definedName name="template_label_name_of_the_reporting_entity">Translations!$B$127</definedName>
    <definedName name="template_label_no_value_can_be_entered_in_the_cell">Translations!$B$47</definedName>
    <definedName name="template_label_non_renewable">Translations!$B$204</definedName>
    <definedName name="template_label_none_of_the_above">Translations!$B$400</definedName>
    <definedName name="template_label_not_reported">Translations!$B$331</definedName>
    <definedName name="template_label_number_of_annual_training_hours_per_employee_during_the_reporting_period">Translations!$B$353</definedName>
    <definedName name="template_label_number_of_employees">Translations!$B$151</definedName>
    <definedName name="template_label_number_of_employees_at_the_beginning_of_the_reporting_period">Translations!$B$337</definedName>
    <definedName name="template_label_number_of_employees_at_the_end_of_the_reporting_period">Translations!$B$338</definedName>
    <definedName name="template_label_number_of_employees_covered_by_collective_bargaining_agreements">Translations!$B$351</definedName>
    <definedName name="template_label_number_of_employees_warning">Translations!$B$488</definedName>
    <definedName name="template_label_number_of_employees_who_left_during_the_reporting_period">Translations!$B$336</definedName>
    <definedName name="template_label_number_of_fatalities_as_a_result_of_work_related_injuries_and_work_related_ill_health">Translations!$B$345</definedName>
    <definedName name="template_label_number_of_female_board_members_at_the_end_of_the_reporting_period">Translations!$B$404</definedName>
    <definedName name="template_label_number_of_female_employees_at_management_level">Translations!$B$357</definedName>
    <definedName name="template_label_number_of_hours_worked_by_one_fulltime_employee_in_the_reporting_period">Translations!$B$342</definedName>
    <definedName name="template_label_number_of_male_board_members_at_the_end_of_the_reporting_period">Translations!$B$405</definedName>
    <definedName name="template_label_number_of_male_employees_at_management_level">Translations!$B$356</definedName>
    <definedName name="template_label_number_of_recordable_work_related_accidents_in_the_reporting_period">Translations!$B$341</definedName>
    <definedName name="template_label_ok">Translations!$B$474</definedName>
    <definedName name="template_label_other">Translations!$B$330</definedName>
    <definedName name="template_label_other_if_yes_specify">Translations!$B$369</definedName>
    <definedName name="template_label_other_undertakings_legal_form_specification">Translations!$B$147</definedName>
    <definedName name="template_label_other_warning">Translations!$B$481</definedName>
    <definedName name="template_label_overall_validation_status_validation">Translations!$B$51</definedName>
    <definedName name="template_label_own_workforce">Translations!$B$179</definedName>
    <definedName name="template_label_paragraph_guidance_reference">Translations!$B$115</definedName>
    <definedName name="template_label_paragraph_reference">Translations!$B$114</definedName>
    <definedName name="template_label_percentage_gap_in_pay_between_the__undertakings_female_and_male_employees">Translations!$B$350</definedName>
    <definedName name="template_label_percentage_of_employees_covered_by_collective_bargaining_agreements">Translations!$B$352</definedName>
    <definedName name="template_label_percentage_reduction_from_base_year">Translations!$B$215</definedName>
    <definedName name="template_label_permanent_contract">Translations!$B$323</definedName>
    <definedName name="template_label_please_note_that_the_typical_values_for_net_calorific_value_and_density_are_provided_for_each_fuel_type">Translations!$B$411</definedName>
    <definedName name="template_label_please_provide_the_relevant_url_link_or_hyperlink_of_where_this_information_is_reported">Translations!$B$258</definedName>
    <definedName name="template_label_please_select_the_unit_used_for_reporting_the_amount">Translations!$B$259</definedName>
    <definedName name="template_label_please_select_the_unit_used_for_the_area">Translations!$B$267</definedName>
    <definedName name="template_label_pollutant">Translations!$B$261</definedName>
    <definedName name="template_label_pollution">Translations!$B$175</definedName>
    <definedName name="template_label_postal_code">Translations!$B$164</definedName>
    <definedName name="template_label_potential_adverse_effects_of_climate_risks">Translations!$B$317</definedName>
    <definedName name="template_label_practices_policies_and_future_initiatives_for_transitioning_towards_a_more_sustainable_economy_validation">Translations!$B$65</definedName>
    <definedName name="template_label_publication_date">Translations!$B$16</definedName>
    <definedName name="template_label_rate_of_recordable_work_related_accidents_in_the_reporting_period">Translations!$B$344</definedName>
    <definedName name="template_label_registered_address">Translations!$B$158</definedName>
    <definedName name="template_label_related_site_id">Translations!$B$268</definedName>
    <definedName name="template_label_renewable">Translations!$B$203</definedName>
    <definedName name="template_label_report_currency_document_information">Translations!$B$7</definedName>
    <definedName name="template_label_report_generated">Translations!$B$10</definedName>
    <definedName name="template_label_report_period_document_information">Translations!$B$9</definedName>
    <definedName name="template_label_reporting_period">Translations!$B$13</definedName>
    <definedName name="template_label_reporting_period_end_date">Translations!$B$137</definedName>
    <definedName name="template_label_reporting_period_start_date">Translations!$B$133</definedName>
    <definedName name="template_label_reproduction_and_use_rights_are_strictly_limited">Translations!$B$50</definedName>
    <definedName name="template_label_required_by_law_or_other_national_regulations_to_report_to_competent_authorities_its_emissions_of_pollutants">Translations!$B$256</definedName>
    <definedName name="template_label_revenue_derived_from_chemicals_production">Translations!$B$393</definedName>
    <definedName name="template_label_revenue_derived_from_coal">Translations!$B$389</definedName>
    <definedName name="template_label_revenue_derived_from_controversial_weapons">Translations!$B$387</definedName>
    <definedName name="template_label_revenue_derived_from_cultivation_and_production_of_tobacco">Translations!$B$388</definedName>
    <definedName name="template_label_revenue_derived_from_gas">Translations!$B$391</definedName>
    <definedName name="template_label_revenue_derived_from_oil">Translations!$B$390</definedName>
    <definedName name="template_label_revenues_from_certain_sectors_validation">Translations!$B$106</definedName>
    <definedName name="template_label_row_id">Translations!$B$260</definedName>
    <definedName name="template_label_scope_1_and_scope_2_ghg_emissions_intensity_location_based">Translations!$B$251</definedName>
    <definedName name="template_label_scope_1_and_scope_2_ghg_emissions_intensity_market_based">Translations!$B$252</definedName>
    <definedName name="template_label_scope_3_categories_warning">Translations!$B$485</definedName>
    <definedName name="template_label_select_template_display_language">Translations!$B$18</definedName>
    <definedName name="template_label_selfgenerated_electricity">Translations!$B$207</definedName>
    <definedName name="template_label_site_ID_value_inconsistency_warning">Translations!$B$486</definedName>
    <definedName name="template_label_site_located_in_a_biodiversity_sensitive_area">Translations!$B$271</definedName>
    <definedName name="template_label_site_located_near_a_biodiversity_sensitive_area">Translations!$B$272</definedName>
    <definedName name="template_label_site_location_in_near_a_biodiversity_area">Translations!$B$269</definedName>
    <definedName name="template_label_sites_in_biodiversity_sensitive_areas_validation">Translations!$B$75</definedName>
    <definedName name="template_label_size_of_balance_sheet_in">Translations!$B$149</definedName>
    <definedName name="template_label_social_disclosures_validation">Translations!$B$84</definedName>
    <definedName name="template_label_solid_warning">Translations!$B$476</definedName>
    <definedName name="template_label_specific_content_validation_status_validation">Translations!$B$54</definedName>
    <definedName name="template_label_specification_of_any_confirmed_incident_involving_workers">Translations!$B$378</definedName>
    <definedName name="template_label_specify_other_human_rights_related_to_the_confirmed_incidents">Translations!$B$375</definedName>
    <definedName name="template_label_specify_other_types_of_content_covered_by_the_code_of_conduct_or_human_rights_policy">Translations!$B$370</definedName>
    <definedName name="template_label_starting_day">Translations!$B$132</definedName>
    <definedName name="template_label_starting_month">Translations!$B$131</definedName>
    <definedName name="template_label_starting_year">Translations!$B$130</definedName>
    <definedName name="template_label_state_of_matter">Translations!$B$416</definedName>
    <definedName name="template_label_state_of_matter_warning">Translations!#REF!</definedName>
    <definedName name="template_label_status_of_implementation_of_a_transition_plan_in_relation_to_climate_change_mitigation">Translations!$B$244</definedName>
    <definedName name="template_label_steps_to_follow_for_the_mass_table">Translations!$B$452</definedName>
    <definedName name="template_label_subtitle_of_report">Translations!$B$21</definedName>
    <definedName name="template_label_subtitle_of_report_text">Translations!$B$22</definedName>
    <definedName name="template_label_sustainability_issues_addressed_by_a_practice_policy_and_or_future_initiatives_put_in_place">Translations!$B$171</definedName>
    <definedName name="template_label_table_of_contents">Translations!$B$12</definedName>
    <definedName name="template_label_table_of_contents_validation">Translations!$B$52</definedName>
    <definedName name="template_label_target_year">Translations!$B$214</definedName>
    <definedName name="template_label_taxonomy_entry_point">Translations!$B$17</definedName>
    <definedName name="template_label_temporary_contract">Translations!$B$324</definedName>
    <definedName name="template_label_the_converter_offers_the_possibility_of_calculating_simultaneously_up_to_10_different_types_of_fuel">Translations!$B$435</definedName>
    <definedName name="template_label_the_purpose_of_this_digital_template_is_to_illustrate_how_vsme_reporting_can_be_implemented_in_a_digital_template">Translations!$B$24</definedName>
    <definedName name="template_label_the_steps_to_follow_for_the_other_tables">Translations!$B$457</definedName>
    <definedName name="template_label_this_converter_is_intended_solely_to_illustrate_how_energy_consumption_in_mwh">Translations!$B$410</definedName>
    <definedName name="template_label_time_horizons_of_any_climate_related_hazards_and_transition_events_identified">Translations!$B$315</definedName>
    <definedName name="template_label_title_of_report">Translations!$B$19</definedName>
    <definedName name="template_label_to">Translations!$B$117</definedName>
    <definedName name="template_label_total_amount_of_fines_for_the_violation_of_anti_corruption_and_anti_bribery_laws">Translations!$B$383</definedName>
    <definedName name="template_label_total_amount_of_waste_generated">Translations!$B$297</definedName>
    <definedName name="template_label_total_amount_of_water_withdrawn_from_all_sites">Translations!$B$281</definedName>
    <definedName name="template_label_total_annual_mass_flow_of_relevant_materials_used_mass">Translations!$B$308</definedName>
    <definedName name="template_label_total_annual_mass_flow_of_relevant_materials_used_volume">Translations!$B$310</definedName>
    <definedName name="template_label_total_employees">Translations!$B$325</definedName>
    <definedName name="template_label_total_energy">Translations!$B$431</definedName>
    <definedName name="template_label_total_energy_consumption">Translations!$B$200</definedName>
    <definedName name="template_label_total_energy_consumption_in_mwh_validation">Translations!$B$69</definedName>
    <definedName name="template_label_total_hazardous_waste_generated_mass">Translations!$B$296</definedName>
    <definedName name="template_label_total_hazardous_waste_generated_volume">Translations!$B$300</definedName>
    <definedName name="template_label_total_nature_oriented_area_off_site">Translations!$B$278</definedName>
    <definedName name="template_label_total_nature_oriented_area_on_site">Translations!$B$277</definedName>
    <definedName name="template_label_total_non_hazardous_waste_generated_mass">Translations!$B$298</definedName>
    <definedName name="template_label_total_non_hazardous_waste_generated_volume">Translations!$B$302</definedName>
    <definedName name="template_label_total_nonrenewable_energy">Translations!$B$433</definedName>
    <definedName name="template_label_total_number_of_convictions_for_the_violation_of_anti_corruption_and_anti_bribery_laws">Translations!$B$382</definedName>
    <definedName name="template_label_total_number_of_hours_worked_in_a_year_by_all_employees_in_the_reporting_period">Translations!$B$343</definedName>
    <definedName name="template_label_total_renewable_and_nonrenewable">Translations!$B$205</definedName>
    <definedName name="template_label_total_renewable_energy">Translations!$B$432</definedName>
    <definedName name="template_label_total_revenues_derived_from_fossil_fuel_sector">Translations!$B$392</definedName>
    <definedName name="template_label_total_scope_1_and_scope_2_ghg_emissions_location_based">Translations!$B$220</definedName>
    <definedName name="template_label_total_scope_1_and_scope_2_ghg_emissions_market_based">Translations!$B$221</definedName>
    <definedName name="template_label_total_scope_1_scope_2_and_scope_3_ghg_emissions_intensity_location_based">Translations!$B$253</definedName>
    <definedName name="template_label_total_scope_1_scope_2_and_scope_3_ghg_emissions_intensity_market_based">Translations!$B$254</definedName>
    <definedName name="template_label_total_scope_1_scope_2_and_scope_3_ghg_emissions_location_based">Translations!$B$239</definedName>
    <definedName name="template_label_total_scope_1_scope_2_and_scope_3_ghg_emissions_market_based">Translations!$B$240</definedName>
    <definedName name="template_label_total_scope_3_ghg_emissions">Translations!$B$238</definedName>
    <definedName name="template_label_total_sealed_area">Translations!$B$276</definedName>
    <definedName name="template_label_total_self_employed_workers_without_personnel_that_are_working_exclusively_for_the_undertaking">Translations!$B$359</definedName>
    <definedName name="template_label_total_temporary_workers_provided_by_undertakings_primarily_engaged_in_employment_activities">Translations!$B$360</definedName>
    <definedName name="template_label_total_use_of_land">Translations!$B$279</definedName>
    <definedName name="template_label_total_waste_generated_mass">Translations!$B$299</definedName>
    <definedName name="template_label_total_waste_generated_volume">Translations!$B$303</definedName>
    <definedName name="template_label_total_waste_recycled_reused_and_directed_to_disposal">Translations!$B$295</definedName>
    <definedName name="template_label_total_water_consumption">Translations!$B$286</definedName>
    <definedName name="template_label_transfer_the_total_results_to_the_b3_fuel_energy_consumption_reporting_cell">Translations!$B$430</definedName>
    <definedName name="template_label_transition_plan_for_undertakings_operating_in_high_climate_impact_sectors_validation">Translations!$B$100</definedName>
    <definedName name="template_label_turnover_in">Translations!$B$150</definedName>
    <definedName name="template_label_turnover_rate_validation">Translations!$B$89</definedName>
    <definedName name="template_label_type_of_contract">Translations!$B$322</definedName>
    <definedName name="template_label_type_of_contract_validation">Translations!$B$86</definedName>
    <definedName name="template_label_type_of_waste">Translations!$B$291</definedName>
    <definedName name="template_label_type_of_waste_warning">Translations!$B$487</definedName>
    <definedName name="template_label_typical_renewable_state">Translations!$B$417</definedName>
    <definedName name="template_label_undertaking_applies_circular_economy_principles">Translations!$B$288</definedName>
    <definedName name="template_label_undertaking_has_a_practice_policy_and_or_future_initiative_that_is_publicly_available">Translations!$B$172</definedName>
    <definedName name="template_label_undertaking_has_set_a_target_which_is_related_to_a_policy">Translations!$B$173</definedName>
    <definedName name="template_label_undertaking_operating_in_more_than_one_country">Translations!$B$334</definedName>
    <definedName name="template_label_undertakings_are_excluded_from_any_eu_reference_benchmarks_that_are_aligned_with_the_paris_agreement">Translations!$B$401</definedName>
    <definedName name="template_label_undertakings_are_excluded_from_the_eu_paris_aligned_benchmarks_if_they_derive">Translations!$B$395</definedName>
    <definedName name="template_label_undertakings_legal_form">Translations!$B$146</definedName>
    <definedName name="template_label_unit_of_measurement">Translations!$B$292</definedName>
    <definedName name="template_label_unit_of_measurement_converter">Translations!$B$444</definedName>
    <definedName name="template_label_unit_of_measurement_of_density_converter">Translations!$B$450</definedName>
    <definedName name="template_label_unit_of_measurement_of_density_converter_list">Translations!$B$462</definedName>
    <definedName name="template_label_unit_of_measurement_of_energy_consumption_per_hour">Translations!$B$448</definedName>
    <definedName name="template_label_unit_of_measurement_of_energy_converter_list">Translations!$B$461</definedName>
    <definedName name="template_label_unit_of_measurement_of_mass_converter">Translations!$B$446</definedName>
    <definedName name="template_label_unit_of_measurement_of_mass_converter_list">Translations!$B$459</definedName>
    <definedName name="template_label_unit_of_measurement_of_ncv_converter">Translations!$B$449</definedName>
    <definedName name="template_label_unit_of_measurement_of_ncv_converter_list">Translations!$B$463</definedName>
    <definedName name="template_label_unit_of_measurement_of_volume_converter">Translations!$B$447</definedName>
    <definedName name="template_label_unit_of_measurement_of_volume_converter_list">Translations!$B$460</definedName>
    <definedName name="template_label_usage_of_fuel_converter">Translations!$B$419</definedName>
    <definedName name="template_label_usage_of_unit_of_measurement_converter">Translations!$B$451</definedName>
    <definedName name="template_label_validation_missing_value_error_value_inconsistency_invalid_url">Translations!#REF!</definedName>
    <definedName name="template_label_validation_missing_value_error_velue_inconsistency_invalid_url">Translations!$B$43</definedName>
    <definedName name="template_label_validation_ok">Translations!$B$45</definedName>
    <definedName name="template_label_value_inconsistency">Translations!$B$468</definedName>
    <definedName name="template_label_version">Translations!$B$15</definedName>
    <definedName name="template_label_vsme_digital_template">Translations!$B$23</definedName>
    <definedName name="template_label_waste_directed_to_disposal">Translations!$B$294</definedName>
    <definedName name="template_label_waste_diverted_to_recycle_or_reuse">Translations!$B$293</definedName>
    <definedName name="template_label_waste_generated_validation">Translations!$B$82</definedName>
    <definedName name="template_label_water_and_marine_resources">Translations!$B$176</definedName>
    <definedName name="template_label_water_consumption_validation">Translations!$B$79</definedName>
    <definedName name="template_label_water_discharge_from_undertaking_production_processes">Translations!$B$285</definedName>
    <definedName name="template_label_water_withdrawal_validation">Translations!$B$78</definedName>
    <definedName name="template_label_workers_in_the_value_chain">Translations!$B$180</definedName>
    <definedName name="template_label_XBRL_facts_in_report">Translations!$B$14</definedName>
    <definedName name="template_label_year">Translations!$B$247</definedName>
    <definedName name="template_label_year_date">Translations!$B$216</definedName>
    <definedName name="template_overall_validation_status">'Table of Contents &amp; Validation'!$C$3</definedName>
    <definedName name="template_reporting_entity_identifier">'General Information'!$E$4</definedName>
    <definedName name="template_reporting_entity_identifier_scheme">'General Information'!$D$4</definedName>
    <definedName name="template_reporting_entity_name">'General Information'!$D$3:$E$3</definedName>
    <definedName name="template_reporting_period_display">'Technical Sheet'!$B$1</definedName>
    <definedName name="template_reporting_period_enddate">'General Information'!$D$13</definedName>
    <definedName name="template_reporting_period_startdate">'General Information'!$D$9</definedName>
    <definedName name="template_reporting_schemaRef">Introduction!$C$10</definedName>
    <definedName name="template_reporting_subtitle">Introduction!$C$13</definedName>
    <definedName name="template_reporting_template_version">Introduction!$C$1</definedName>
    <definedName name="template_reporting_title">Introduction!$C$12</definedName>
    <definedName name="template_selected_display_language">Introduction!$C$11</definedName>
    <definedName name="template_starting_date_display">'Technical Sheet'!$B$2</definedName>
    <definedName name="template_translations">Translations!$C$3:$G$3</definedName>
    <definedName name="TimeHorizonsOfAnyClimateRelatedHazardsAndTransitionEventsIdentified">'Environmental Disclosures'!$E$238</definedName>
    <definedName name="TotalAmountOfFinesForTheViolationOfAnticorruptionAndAntibriberyLaws">'Governance Disclosures'!$H$7</definedName>
    <definedName name="TotalAmountOfWaterWithdrawnFromAllSites">'Environmental Disclosures'!$D$169</definedName>
    <definedName name="TotalEnergyConsumption">'Environmental Disclosures'!$G$5</definedName>
    <definedName name="TotalGrossLocationBasedGHGEmissions_BaselineYearMember">'Environmental Disclosures'!$G$46</definedName>
    <definedName name="TotalGrossLocationBasedGHGEmissions_CurrentlyStatedMember">'Environmental Disclosures'!$D$46</definedName>
    <definedName name="TotalGrossLocationBasedGHGEmissions_TargetYearMember">'Environmental Disclosures'!$J$46</definedName>
    <definedName name="TotalGrossLocationBasedScope1AndScope2GHGEmissions">'Environmental Disclosures'!$D$25</definedName>
    <definedName name="TotalGrossLocationBasedScope1AndScope2GHGEmissions_BaselineYearMember">'Environmental Disclosures'!$G$25</definedName>
    <definedName name="TotalGrossLocationBasedScope1AndScope2GHGEmissions_TargetYearMember">'Environmental Disclosures'!$J$25</definedName>
    <definedName name="TotalGrossMarketBasedGHGEmissions_BaselineYearMember">'Environmental Disclosures'!$G$47</definedName>
    <definedName name="TotalGrossMarketBasedGHGEmissions_CurrentlyStatedMember">'Environmental Disclosures'!$D$47</definedName>
    <definedName name="TotalGrossMarketBasedGHGEmissions_TargetYearMember">'Environmental Disclosures'!$J$47</definedName>
    <definedName name="TotalGrossMarketBasedScope1AndScope2GHGEmissions">'Environmental Disclosures'!$D$26</definedName>
    <definedName name="TotalGrossMarketBasedScope1AndScope2GHGEmissions_BaselineYearMember">'Environmental Disclosures'!$G$26</definedName>
    <definedName name="TotalGrossMarketBasedScope1AndScope2GHGEmissions_TargetYearMember">'Environmental Disclosures'!$J$26</definedName>
    <definedName name="TotalHazardousWasteGeneratedMass">'Environmental Disclosures'!$J$204:$L$204</definedName>
    <definedName name="TotalHazardousWasteGeneratedMass_unit">'Environmental Disclosures'!$G$204:$I$204</definedName>
    <definedName name="TotalHazardousWasteGeneratedVolume">'Environmental Disclosures'!$J$207:$L$207</definedName>
    <definedName name="TotalHazardousWasteGeneratedVolume_unit">'Environmental Disclosures'!$G$207:$I$207</definedName>
    <definedName name="TotalLocationBasedGreenhouseGasEmissionsIntensityValue">'Environmental Disclosures'!$G$68</definedName>
    <definedName name="TotalMarketBasedGreenhouseGasEmissionsIntensityValue">'Environmental Disclosures'!$G$69</definedName>
    <definedName name="TotalMassOfMaterialUsed">'Environmental Disclosures'!$G$231</definedName>
    <definedName name="TotalMassOfMaterialUsed_unit">'Environmental Disclosures'!$J$231</definedName>
    <definedName name="TotalNatureOrientedAreaOffSite">'Environmental Disclosures'!$D$163:$F$163</definedName>
    <definedName name="TotalNatureOrientedAreaOffSite_unit">'Environmental Disclosures'!$C$159</definedName>
    <definedName name="TotalNatureOrientedAreaOnSite">'Environmental Disclosures'!$D$162:$F$162</definedName>
    <definedName name="TotalNatureOrientedAreaOnSite_unit">'Environmental Disclosures'!$C$159</definedName>
    <definedName name="TotalNonHazardousWasteGeneratedMass">'Environmental Disclosures'!$J$205:$L$205</definedName>
    <definedName name="TotalNonHazardousWasteGeneratedMass_unit">'Environmental Disclosures'!$G$205:$I$205</definedName>
    <definedName name="TotalNonHazardousWasteGeneratedVolume">'Environmental Disclosures'!$J$208:$L$208</definedName>
    <definedName name="TotalNonHazardousWasteGeneratedVolume_unit">'Environmental Disclosures'!$G$208:$I$208</definedName>
    <definedName name="TotalNumberOfConvictionsForTheViolationOfAntiCorruptionAndAntiBriberyLaws">'Governance Disclosures'!$H$6</definedName>
    <definedName name="TotalNumberOfSelfEmployedWorkersWithoutPersonnelThatAreWorkingExclusivelyForTheUndertaking">'Social Disclosures'!$D$78</definedName>
    <definedName name="TotalNumberOfTemporaryWorkersProvidedByUndertakingsPrimarilyEngagedInEmploymentActivities">'Social Disclosures'!$D$79</definedName>
    <definedName name="TotalRevenuesDerivedFromFossilFuelCoalOilAndGasSector">'Governance Disclosures'!$H$17</definedName>
    <definedName name="TotalSealedArea">'Environmental Disclosures'!$D$161:$F$161</definedName>
    <definedName name="TotalSealedArea_unit">'Environmental Disclosures'!$C$159</definedName>
    <definedName name="TotalUseOfLand">'Environmental Disclosures'!$D$164:$F$164</definedName>
    <definedName name="TotalUseOfLand_unit">'Environmental Disclosures'!$C$159</definedName>
    <definedName name="TotalVolumeOfMaterialUsed">'Environmental Disclosures'!$G$232</definedName>
    <definedName name="TotalVolumeOfMaterialUsed_unit">'Environmental Disclosures'!$J$232</definedName>
    <definedName name="TotalWasteGeneratedMass">'Environmental Disclosures'!$J$206:$L$206</definedName>
    <definedName name="TotalWasteGeneratedMass_unit">'Environmental Disclosures'!$G$206:$I$206</definedName>
    <definedName name="TotalWasteGeneratedVolume">'Environmental Disclosures'!$J$209:$L$209</definedName>
    <definedName name="TotalWasteGeneratedVolume_unit">'Environmental Disclosures'!$G$209:$I$209</definedName>
    <definedName name="TotalWasteRecycledReusedAndDirectedToDisposalMass">'Environmental Disclosures'!$L$189:$L$203</definedName>
    <definedName name="TotalWasteRecycledReusedAndDirectedToDisposalMass_unit">'Environmental Disclosures'!$G$189:$I$203</definedName>
    <definedName name="TotalWasteRecycledReusedAndDirectedToDisposalVolume">'Environmental Disclosures'!$L$189:$L$203</definedName>
    <definedName name="TotalWasteRecycledReusedAndDirectedToDisposalVolume_unit">'Environmental Disclosures'!$G$189:$I$203</definedName>
    <definedName name="TotalWaterConsumption">'Environmental Disclosures'!$D$177</definedName>
    <definedName name="Turnover">'General Information'!$E$61</definedName>
    <definedName name="TypeOfContentCoveredByTheCodeOfConductOrHumanRightsPolicyForItsOwnWorkforce">'Social Disclosures'!$D$84:$H$89</definedName>
    <definedName name="TypeOfHumanRightRelatedToTheConfirmedIncident">'Social Disclosures'!$D$96:$H$100</definedName>
    <definedName name="TypeOfNumberOfEmployees">'General Information'!$E$64</definedName>
    <definedName name="TypeOfPollutantAxis">'Environmental Disclosures'!$D$80:$F$119</definedName>
    <definedName name="TypeOfWasteAxis">'Environmental Disclosures'!$D$189:$F$203</definedName>
    <definedName name="UndertakingAppliesCircularEconomyPrinciples">'Environmental Disclosures'!$D$182</definedName>
    <definedName name="UndertakingHasACodeOfConductOrHumanRightsPolicyForItsOwnWorkforce">'Social Disclosures'!$D$82</definedName>
    <definedName name="UndertakingHasAComplaintHandlingMechanismForItsOwnWorkforce">'Social Disclosures'!$D$91</definedName>
    <definedName name="UndertakingHasConfirmedHumanRightsIncidentsInItsOwnWorkforce">'Social Disclosures'!$D$94</definedName>
    <definedName name="UndertakingHasSetATargetWhichIsRelatedToAPolicy">'General Information'!$O$140</definedName>
    <definedName name="UndertakingIsAwareOfAnyConfirmedIncidentsInvolvingWorkersInTheValueChainAffectedCommunitiesConsumersAndEndUsers">'Social Disclosures'!$D$103</definedName>
    <definedName name="UndertakingsAreExcludedFromAnyEuReferenceBenchmarksThatAreAlignedWithTheParisAgreement">'Governance Disclosures'!$H$27</definedName>
    <definedName name="UndertakingsLegalForm">'General Information'!$E$43</definedName>
    <definedName name="URLOrLinkToThePubliclyAvailableDisclosure">'Environmental Disclosures'!$G$76</definedName>
    <definedName name="VolumeOfMaterialUsed">'Environmental Disclosures'!$G$216:$I$230</definedName>
    <definedName name="VolumeOfMaterialUsed_unit">'Environmental Disclosures'!$J$216:$J$230</definedName>
    <definedName name="WasteDirectedToDisposalMass">'Environmental Disclosures'!$K$189:$K$203</definedName>
    <definedName name="WasteDirectedToDisposalMass_unit">'Environmental Disclosures'!$G$189:$I$203</definedName>
    <definedName name="WasteDirectedToDisposalVolume">'Environmental Disclosures'!$K$189:$K$203</definedName>
    <definedName name="WasteDirectedToDisposalVolume_unit">'Environmental Disclosures'!$G$189:$I$203</definedName>
    <definedName name="WasteDivertedToRecycleOrReuseMass">'Environmental Disclosures'!$J$189:$J$203</definedName>
    <definedName name="WasteDivertedToRecycleOrReuseMass_unit">'Environmental Disclosures'!$G$189:$I$203</definedName>
    <definedName name="WasteDivertedToRecycleOrReuseVolume">'Environmental Disclosures'!$J$189:$J$203</definedName>
    <definedName name="WasteDivertedToRecycleOrReuseVolume_unit">'Environmental Disclosures'!$G$189:$I$203</definedName>
    <definedName name="WasteGeneratedTable">'Environmental Disclosures'!$D$189:$L$203</definedName>
    <definedName name="WaterDischargeFromUndertakingProductionProcesses">'Environmental Disclosures'!$D$176</definedName>
    <definedName name="WeightOfMaterialUsed">'Environmental Disclosures'!$G$216:$I$230</definedName>
    <definedName name="WeightOfMaterialUsed_unit">'Environmental Disclosures'!$J$216:$J$230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0" i="1" l="1"/>
  <c r="B3" i="4" l="1" a="1"/>
  <c r="B3" i="4" s="1"/>
  <c r="H33" i="7"/>
  <c r="D11" i="8"/>
  <c r="D12" i="8"/>
  <c r="D13" i="8"/>
  <c r="D14" i="8"/>
  <c r="D15" i="8"/>
  <c r="D16" i="8"/>
  <c r="D17" i="8"/>
  <c r="D18" i="8"/>
  <c r="F19" i="3"/>
  <c r="I38" i="7"/>
  <c r="I32" i="7"/>
  <c r="I31" i="7"/>
  <c r="I12" i="7"/>
  <c r="I7" i="7"/>
  <c r="I6" i="7"/>
  <c r="I110" i="12"/>
  <c r="I104" i="12"/>
  <c r="I102" i="12"/>
  <c r="I101" i="12"/>
  <c r="I96" i="12" a="1"/>
  <c r="I96" i="12" s="1"/>
  <c r="I90" i="12"/>
  <c r="I84" i="12"/>
  <c r="I79" i="12"/>
  <c r="I78" i="12"/>
  <c r="I76" i="12"/>
  <c r="I75" i="12"/>
  <c r="I59" i="12"/>
  <c r="I58" i="12"/>
  <c r="I46" i="12"/>
  <c r="I45" i="12"/>
  <c r="I44" i="12"/>
  <c r="I32" i="12"/>
  <c r="I33" i="12"/>
  <c r="I34" i="12"/>
  <c r="I35" i="12"/>
  <c r="I36" i="12"/>
  <c r="I37" i="12"/>
  <c r="I38" i="12"/>
  <c r="I31" i="12"/>
  <c r="I30" i="12"/>
  <c r="I29" i="12"/>
  <c r="M244" i="1"/>
  <c r="L240" i="1"/>
  <c r="L239" i="1"/>
  <c r="L238" i="1"/>
  <c r="L237" i="1"/>
  <c r="L236" i="1"/>
  <c r="K219" i="1"/>
  <c r="K220" i="1"/>
  <c r="K221" i="1"/>
  <c r="K222" i="1"/>
  <c r="K223" i="1"/>
  <c r="K224" i="1"/>
  <c r="K225" i="1"/>
  <c r="K226" i="1"/>
  <c r="K227" i="1"/>
  <c r="K228" i="1"/>
  <c r="K229" i="1"/>
  <c r="K230" i="1"/>
  <c r="K218" i="1"/>
  <c r="K217" i="1"/>
  <c r="K216" i="1"/>
  <c r="M204" i="1" a="1"/>
  <c r="M204" i="1" s="1"/>
  <c r="M191" i="1" l="1"/>
  <c r="M192" i="1"/>
  <c r="M193" i="1"/>
  <c r="M194" i="1"/>
  <c r="M195" i="1"/>
  <c r="M196" i="1"/>
  <c r="M197" i="1"/>
  <c r="M198" i="1"/>
  <c r="M199" i="1"/>
  <c r="M200" i="1"/>
  <c r="M201" i="1"/>
  <c r="M202" i="1"/>
  <c r="M203" i="1"/>
  <c r="M190" i="1"/>
  <c r="H183" i="1"/>
  <c r="E176" i="1"/>
  <c r="G159" i="1"/>
  <c r="L130" i="1"/>
  <c r="L131" i="1"/>
  <c r="L132" i="1"/>
  <c r="L133" i="1"/>
  <c r="L134" i="1"/>
  <c r="L135" i="1"/>
  <c r="L136" i="1"/>
  <c r="L137" i="1"/>
  <c r="L138" i="1"/>
  <c r="L139" i="1"/>
  <c r="L140" i="1"/>
  <c r="L141" i="1"/>
  <c r="L142" i="1"/>
  <c r="L143" i="1"/>
  <c r="L144" i="1"/>
  <c r="L145" i="1"/>
  <c r="L146" i="1"/>
  <c r="L147" i="1"/>
  <c r="L148" i="1"/>
  <c r="L149" i="1"/>
  <c r="L150" i="1"/>
  <c r="L151" i="1"/>
  <c r="L152" i="1"/>
  <c r="L153" i="1"/>
  <c r="L129" i="1"/>
  <c r="L128" i="1"/>
  <c r="L126"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82" i="1"/>
  <c r="L81" i="1"/>
  <c r="L78" i="1" a="1"/>
  <c r="L78" i="1" s="1"/>
  <c r="L76" i="1"/>
  <c r="L75" i="1" a="1"/>
  <c r="L75" i="1" s="1"/>
  <c r="L59" i="1"/>
  <c r="L58" i="1"/>
  <c r="L52" i="1"/>
  <c r="L30" i="1" a="1"/>
  <c r="L30" i="1" s="1"/>
  <c r="L24" i="1"/>
  <c r="L21" i="1"/>
  <c r="L12" i="1" a="1"/>
  <c r="L12" i="1" s="1"/>
  <c r="I165" i="3"/>
  <c r="H161" i="3"/>
  <c r="H151" i="3"/>
  <c r="H150" i="3"/>
  <c r="H149" i="3"/>
  <c r="E146" i="3"/>
  <c r="E145" i="3"/>
  <c r="E144" i="3"/>
  <c r="P140" i="3"/>
  <c r="I100" i="3"/>
  <c r="F72" i="3"/>
  <c r="F73" i="3"/>
  <c r="F74" i="3"/>
  <c r="F75" i="3"/>
  <c r="F76" i="3"/>
  <c r="F77" i="3"/>
  <c r="F78" i="3"/>
  <c r="F79" i="3"/>
  <c r="F80" i="3"/>
  <c r="F81" i="3"/>
  <c r="F82" i="3"/>
  <c r="F83" i="3"/>
  <c r="F84" i="3"/>
  <c r="F85" i="3"/>
  <c r="F86" i="3"/>
  <c r="F87" i="3"/>
  <c r="F88" i="3"/>
  <c r="F89" i="3"/>
  <c r="F90" i="3"/>
  <c r="F91" i="3"/>
  <c r="F92" i="3"/>
  <c r="F93" i="3"/>
  <c r="F94" i="3"/>
  <c r="F71" i="3"/>
  <c r="F70" i="3"/>
  <c r="F47" i="3"/>
  <c r="F48" i="3"/>
  <c r="F49" i="3"/>
  <c r="F50" i="3"/>
  <c r="F51" i="3"/>
  <c r="F52" i="3"/>
  <c r="F53" i="3"/>
  <c r="F54" i="3"/>
  <c r="F55" i="3"/>
  <c r="F56" i="3"/>
  <c r="F57" i="3"/>
  <c r="F58" i="3"/>
  <c r="F59" i="3"/>
  <c r="F46" i="3"/>
  <c r="F44" i="3"/>
  <c r="F35" i="3"/>
  <c r="F36" i="3"/>
  <c r="F37" i="3"/>
  <c r="F38" i="3"/>
  <c r="F39" i="3"/>
  <c r="F40" i="3"/>
  <c r="F41" i="3"/>
  <c r="F34" i="3"/>
  <c r="F21" i="3"/>
  <c r="F22" i="3"/>
  <c r="F23" i="3"/>
  <c r="F24" i="3"/>
  <c r="F25" i="3"/>
  <c r="F26" i="3"/>
  <c r="F27" i="3"/>
  <c r="F28" i="3"/>
  <c r="F20" i="3"/>
  <c r="F29" i="3"/>
  <c r="F18" i="3"/>
  <c r="D3" i="17" l="1"/>
  <c r="E3" i="17"/>
  <c r="F3" i="17"/>
  <c r="G3" i="17"/>
  <c r="C3" i="17"/>
  <c r="B21" i="17" l="1"/>
  <c r="B13" i="4" s="1"/>
  <c r="B490" i="17"/>
  <c r="A21" i="1" s="1"/>
  <c r="B334" i="17"/>
  <c r="C27" i="12" s="1"/>
  <c r="B19" i="17"/>
  <c r="B12" i="4" s="1"/>
  <c r="B486" i="17"/>
  <c r="M128" i="1" s="1"/>
  <c r="B415" i="17"/>
  <c r="B429" i="17"/>
  <c r="B442" i="17"/>
  <c r="B456" i="17"/>
  <c r="B470" i="17"/>
  <c r="B385" i="17"/>
  <c r="B398" i="17"/>
  <c r="B17" i="17"/>
  <c r="B33" i="17"/>
  <c r="B47" i="17"/>
  <c r="B60" i="17"/>
  <c r="B74" i="17"/>
  <c r="B88" i="17"/>
  <c r="B102" i="17"/>
  <c r="B115" i="17"/>
  <c r="B127" i="17"/>
  <c r="B140" i="17"/>
  <c r="B153" i="17"/>
  <c r="B164" i="17"/>
  <c r="B177" i="17"/>
  <c r="B189" i="17"/>
  <c r="B200" i="17"/>
  <c r="B212" i="17"/>
  <c r="B226" i="17"/>
  <c r="B240" i="17"/>
  <c r="B252" i="17"/>
  <c r="B277" i="17"/>
  <c r="B288" i="17"/>
  <c r="B301" i="17"/>
  <c r="B313" i="17"/>
  <c r="B325" i="17"/>
  <c r="B337" i="17"/>
  <c r="B349" i="17"/>
  <c r="B373" i="17"/>
  <c r="B10" i="17"/>
  <c r="B484" i="17"/>
  <c r="M14" i="1" s="1"/>
  <c r="B420" i="17"/>
  <c r="B434" i="17"/>
  <c r="B447" i="17"/>
  <c r="B461" i="17"/>
  <c r="B475" i="17"/>
  <c r="B390" i="17"/>
  <c r="B402" i="17"/>
  <c r="B24" i="17"/>
  <c r="B38" i="17"/>
  <c r="B51" i="17"/>
  <c r="B65" i="17"/>
  <c r="B79" i="17"/>
  <c r="B93" i="17"/>
  <c r="B107" i="17"/>
  <c r="B119" i="17"/>
  <c r="B132" i="17"/>
  <c r="B144" i="17"/>
  <c r="B157" i="17"/>
  <c r="B182" i="17"/>
  <c r="B193" i="17"/>
  <c r="B204" i="17"/>
  <c r="B217" i="17"/>
  <c r="B231" i="17"/>
  <c r="B243" i="17"/>
  <c r="B256" i="17"/>
  <c r="B269" i="17"/>
  <c r="B281" i="17"/>
  <c r="B292" i="17"/>
  <c r="B305" i="17"/>
  <c r="C214" i="1" s="1"/>
  <c r="B318" i="17"/>
  <c r="B329" i="17"/>
  <c r="B341" i="17"/>
  <c r="B353" i="17"/>
  <c r="B365" i="17"/>
  <c r="B378" i="17"/>
  <c r="B4" i="17"/>
  <c r="B483" i="17"/>
  <c r="L109" i="3" s="1"/>
  <c r="B409" i="17"/>
  <c r="B423" i="17"/>
  <c r="B436" i="17"/>
  <c r="B450" i="17"/>
  <c r="B464" i="17"/>
  <c r="B393" i="17"/>
  <c r="B405" i="17"/>
  <c r="B27" i="17"/>
  <c r="B41" i="17"/>
  <c r="B54" i="17"/>
  <c r="B68" i="17"/>
  <c r="B82" i="17"/>
  <c r="B96" i="17"/>
  <c r="B110" i="17"/>
  <c r="B122" i="17"/>
  <c r="B135" i="17"/>
  <c r="B147" i="17"/>
  <c r="B159" i="17"/>
  <c r="B171" i="17"/>
  <c r="B184" i="17"/>
  <c r="B207" i="17"/>
  <c r="B220" i="17"/>
  <c r="B234" i="17"/>
  <c r="B246" i="17"/>
  <c r="B259" i="17"/>
  <c r="B272" i="17"/>
  <c r="B283" i="17"/>
  <c r="B295" i="17"/>
  <c r="B308" i="17"/>
  <c r="B320" i="17"/>
  <c r="B344" i="17"/>
  <c r="B355" i="17"/>
  <c r="B368" i="17"/>
  <c r="B15" i="17"/>
  <c r="B410" i="17"/>
  <c r="B424" i="17"/>
  <c r="B437" i="17"/>
  <c r="B451" i="17"/>
  <c r="B465" i="17"/>
  <c r="B381" i="17"/>
  <c r="B406" i="17"/>
  <c r="B28" i="17"/>
  <c r="B42" i="17"/>
  <c r="B55" i="17"/>
  <c r="B69" i="17"/>
  <c r="B83" i="17"/>
  <c r="B97" i="17"/>
  <c r="B111" i="17"/>
  <c r="B123" i="17"/>
  <c r="B136" i="17"/>
  <c r="B148" i="17"/>
  <c r="B160" i="17"/>
  <c r="B172" i="17"/>
  <c r="B185" i="17"/>
  <c r="B196" i="17"/>
  <c r="B208" i="17"/>
  <c r="B221" i="17"/>
  <c r="B235" i="17"/>
  <c r="B247" i="17"/>
  <c r="B260" i="17"/>
  <c r="B284" i="17"/>
  <c r="B296" i="17"/>
  <c r="B309" i="17"/>
  <c r="B332" i="17"/>
  <c r="B345" i="17"/>
  <c r="B356" i="17"/>
  <c r="B369" i="17"/>
  <c r="B5" i="17"/>
  <c r="B411" i="17"/>
  <c r="B425" i="17"/>
  <c r="B438" i="17"/>
  <c r="B452" i="17"/>
  <c r="B466" i="17"/>
  <c r="B382" i="17"/>
  <c r="B394" i="17"/>
  <c r="B29" i="17"/>
  <c r="B43" i="17"/>
  <c r="B56" i="17"/>
  <c r="B70" i="17"/>
  <c r="B84" i="17"/>
  <c r="B98" i="17"/>
  <c r="B112" i="17"/>
  <c r="B124" i="17"/>
  <c r="B137" i="17"/>
  <c r="B149" i="17"/>
  <c r="B161" i="17"/>
  <c r="B173" i="17"/>
  <c r="B186" i="17"/>
  <c r="B197" i="17"/>
  <c r="B222" i="17"/>
  <c r="B236" i="17"/>
  <c r="B248" i="17"/>
  <c r="B261" i="17"/>
  <c r="B273" i="17"/>
  <c r="B285" i="17"/>
  <c r="B297" i="17"/>
  <c r="B310" i="17"/>
  <c r="B321" i="17"/>
  <c r="B333" i="17"/>
  <c r="B357" i="17"/>
  <c r="B370" i="17"/>
  <c r="B6" i="17"/>
  <c r="B416" i="17"/>
  <c r="B458" i="17"/>
  <c r="B383" i="17"/>
  <c r="B401" i="17"/>
  <c r="B31" i="17"/>
  <c r="B73" i="17"/>
  <c r="B94" i="17"/>
  <c r="B116" i="17"/>
  <c r="B134" i="17"/>
  <c r="B174" i="17"/>
  <c r="B210" i="17"/>
  <c r="B230" i="17"/>
  <c r="B251" i="17"/>
  <c r="B270" i="17"/>
  <c r="B289" i="17"/>
  <c r="B307" i="17"/>
  <c r="B326" i="17"/>
  <c r="B346" i="17"/>
  <c r="B363" i="17"/>
  <c r="B8" i="17"/>
  <c r="B482" i="17"/>
  <c r="G45" i="3" s="1"/>
  <c r="B417" i="17"/>
  <c r="B439" i="17"/>
  <c r="B459" i="17"/>
  <c r="B32" i="17"/>
  <c r="B52" i="17"/>
  <c r="B75" i="17"/>
  <c r="B95" i="17"/>
  <c r="B117" i="17"/>
  <c r="B155" i="17"/>
  <c r="B175" i="17"/>
  <c r="B192" i="17"/>
  <c r="B211" i="17"/>
  <c r="B232" i="17"/>
  <c r="B253" i="17"/>
  <c r="B271" i="17"/>
  <c r="B327" i="17"/>
  <c r="B347" i="17"/>
  <c r="B364" i="17"/>
  <c r="B9" i="17"/>
  <c r="B488" i="17"/>
  <c r="B480" i="17"/>
  <c r="B422" i="17"/>
  <c r="B444" i="17"/>
  <c r="B467" i="17"/>
  <c r="B388" i="17"/>
  <c r="B380" i="17"/>
  <c r="B37" i="17"/>
  <c r="B59" i="17"/>
  <c r="B80" i="17"/>
  <c r="B103" i="17"/>
  <c r="B121" i="17"/>
  <c r="B180" i="17"/>
  <c r="B216" i="17"/>
  <c r="B239" i="17"/>
  <c r="B257" i="17"/>
  <c r="B278" i="17"/>
  <c r="B294" i="17"/>
  <c r="B315" i="17"/>
  <c r="B352" i="17"/>
  <c r="B14" i="17"/>
  <c r="B479" i="17"/>
  <c r="B428" i="17"/>
  <c r="B448" i="17"/>
  <c r="B471" i="17"/>
  <c r="B392" i="17"/>
  <c r="B20" i="17"/>
  <c r="C12" i="4" s="1"/>
  <c r="B44" i="17"/>
  <c r="B63" i="17"/>
  <c r="B86" i="17"/>
  <c r="B106" i="17"/>
  <c r="B126" i="17"/>
  <c r="B145" i="17"/>
  <c r="B165" i="17"/>
  <c r="B201" i="17"/>
  <c r="B223" i="17"/>
  <c r="B263" i="17"/>
  <c r="B280" i="17"/>
  <c r="B300" i="17"/>
  <c r="B338" i="17"/>
  <c r="B375" i="17"/>
  <c r="B489" i="17"/>
  <c r="J51" i="12" s="1"/>
  <c r="B433" i="17"/>
  <c r="B463" i="17"/>
  <c r="B396" i="17"/>
  <c r="B34" i="17"/>
  <c r="B62" i="17"/>
  <c r="B91" i="17"/>
  <c r="B120" i="17"/>
  <c r="B150" i="17"/>
  <c r="B176" i="17"/>
  <c r="B228" i="17"/>
  <c r="B255" i="17"/>
  <c r="B311" i="17"/>
  <c r="B336" i="17"/>
  <c r="B361" i="17"/>
  <c r="B13" i="17"/>
  <c r="B414" i="17"/>
  <c r="B445" i="17"/>
  <c r="B474" i="17"/>
  <c r="B404" i="17"/>
  <c r="B45" i="17"/>
  <c r="B72" i="17"/>
  <c r="B104" i="17"/>
  <c r="B130" i="17"/>
  <c r="B158" i="17"/>
  <c r="B187" i="17"/>
  <c r="B209" i="17"/>
  <c r="B266" i="17"/>
  <c r="B291" i="17"/>
  <c r="B319" i="17"/>
  <c r="B343" i="17"/>
  <c r="B372" i="17"/>
  <c r="B421" i="17"/>
  <c r="B453" i="17"/>
  <c r="B384" i="17"/>
  <c r="B18" i="17"/>
  <c r="B49" i="17"/>
  <c r="B78" i="17"/>
  <c r="B109" i="17"/>
  <c r="B138" i="17"/>
  <c r="B163" i="17"/>
  <c r="B190" i="17"/>
  <c r="B215" i="17"/>
  <c r="B244" i="17"/>
  <c r="B274" i="17"/>
  <c r="B299" i="17"/>
  <c r="B324" i="17"/>
  <c r="B351" i="17"/>
  <c r="B377" i="17"/>
  <c r="B426" i="17"/>
  <c r="B454" i="17"/>
  <c r="B386" i="17"/>
  <c r="B22" i="17"/>
  <c r="C13" i="4" s="1"/>
  <c r="B50" i="17"/>
  <c r="B81" i="17"/>
  <c r="B113" i="17"/>
  <c r="B139" i="17"/>
  <c r="B166" i="17"/>
  <c r="B191" i="17"/>
  <c r="B218" i="17"/>
  <c r="B245" i="17"/>
  <c r="B275" i="17"/>
  <c r="B302" i="17"/>
  <c r="B418" i="17"/>
  <c r="B460" i="17"/>
  <c r="B400" i="17"/>
  <c r="B53" i="17"/>
  <c r="B92" i="17"/>
  <c r="B131" i="17"/>
  <c r="B169" i="17"/>
  <c r="B205" i="17"/>
  <c r="B249" i="17"/>
  <c r="B286" i="17"/>
  <c r="B322" i="17"/>
  <c r="B359" i="17"/>
  <c r="B419" i="17"/>
  <c r="B462" i="17"/>
  <c r="B403" i="17"/>
  <c r="B57" i="17"/>
  <c r="B99" i="17"/>
  <c r="B133" i="17"/>
  <c r="B170" i="17"/>
  <c r="B206" i="17"/>
  <c r="B250" i="17"/>
  <c r="B323" i="17"/>
  <c r="B360" i="17"/>
  <c r="B485" i="17"/>
  <c r="M30" i="1" s="1"/>
  <c r="B432" i="17"/>
  <c r="B473" i="17"/>
  <c r="B25" i="17"/>
  <c r="B66" i="17"/>
  <c r="B108" i="17"/>
  <c r="B146" i="17"/>
  <c r="B183" i="17"/>
  <c r="B224" i="17"/>
  <c r="B262" i="17"/>
  <c r="B298" i="17"/>
  <c r="B335" i="17"/>
  <c r="B371" i="17"/>
  <c r="B441" i="17"/>
  <c r="B387" i="17"/>
  <c r="B35" i="17"/>
  <c r="B76" i="17"/>
  <c r="B118" i="17"/>
  <c r="B154" i="17"/>
  <c r="B194" i="17"/>
  <c r="B229" i="17"/>
  <c r="B267" i="17"/>
  <c r="B304" i="17"/>
  <c r="B340" i="17"/>
  <c r="B379" i="17"/>
  <c r="B487" i="17"/>
  <c r="N189" i="1" s="1"/>
  <c r="B440" i="17"/>
  <c r="B397" i="17"/>
  <c r="B64" i="17"/>
  <c r="B125" i="17"/>
  <c r="B178" i="17"/>
  <c r="B227" i="17"/>
  <c r="B331" i="17"/>
  <c r="B11" i="17"/>
  <c r="B455" i="17"/>
  <c r="B23" i="17"/>
  <c r="B85" i="17"/>
  <c r="B141" i="17"/>
  <c r="B188" i="17"/>
  <c r="B241" i="17"/>
  <c r="B293" i="17"/>
  <c r="B348" i="17"/>
  <c r="B408" i="17"/>
  <c r="B469" i="17"/>
  <c r="B36" i="17"/>
  <c r="B90" i="17"/>
  <c r="B151" i="17"/>
  <c r="B199" i="17"/>
  <c r="B306" i="17"/>
  <c r="B358" i="17"/>
  <c r="B412" i="17"/>
  <c r="B472" i="17"/>
  <c r="B39" i="17"/>
  <c r="B100" i="17"/>
  <c r="B152" i="17"/>
  <c r="B202" i="17"/>
  <c r="B258" i="17"/>
  <c r="B312" i="17"/>
  <c r="B362" i="17"/>
  <c r="B413" i="17"/>
  <c r="B476" i="17"/>
  <c r="B40" i="17"/>
  <c r="B101" i="17"/>
  <c r="B156" i="17"/>
  <c r="B203" i="17"/>
  <c r="B264" i="17"/>
  <c r="B314" i="17"/>
  <c r="B366" i="17"/>
  <c r="B395" i="17"/>
  <c r="B89" i="17"/>
  <c r="B179" i="17"/>
  <c r="B265" i="17"/>
  <c r="B430" i="17"/>
  <c r="B16" i="17"/>
  <c r="B114" i="17"/>
  <c r="B195" i="17"/>
  <c r="B279" i="17"/>
  <c r="B354" i="17"/>
  <c r="B431" i="17"/>
  <c r="B26" i="17"/>
  <c r="B198" i="17"/>
  <c r="B282" i="17"/>
  <c r="B367" i="17"/>
  <c r="B478" i="17"/>
  <c r="G4" i="3" s="1"/>
  <c r="B46" i="17"/>
  <c r="B143" i="17"/>
  <c r="B242" i="17"/>
  <c r="B350" i="17"/>
  <c r="B443" i="17"/>
  <c r="B61" i="17"/>
  <c r="B167" i="17"/>
  <c r="B276" i="17"/>
  <c r="B7" i="17"/>
  <c r="B446" i="17"/>
  <c r="B67" i="17"/>
  <c r="B168" i="17"/>
  <c r="B287" i="17"/>
  <c r="B12" i="17"/>
  <c r="B407" i="17"/>
  <c r="B162" i="17"/>
  <c r="B427" i="17"/>
  <c r="B77" i="17"/>
  <c r="B219" i="17"/>
  <c r="B339" i="17"/>
  <c r="B435" i="17"/>
  <c r="B87" i="17"/>
  <c r="B225" i="17"/>
  <c r="B342" i="17"/>
  <c r="B457" i="17"/>
  <c r="B237" i="17"/>
  <c r="B376" i="17"/>
  <c r="B477" i="17"/>
  <c r="B468" i="17"/>
  <c r="B238" i="17"/>
  <c r="B128" i="17"/>
  <c r="B254" i="17"/>
  <c r="B142" i="17"/>
  <c r="B374" i="17"/>
  <c r="B481" i="17"/>
  <c r="B181" i="17"/>
  <c r="B389" i="17"/>
  <c r="B214" i="17"/>
  <c r="B391" i="17"/>
  <c r="B233" i="17"/>
  <c r="B30" i="17"/>
  <c r="B290" i="17"/>
  <c r="B48" i="17"/>
  <c r="B303" i="17"/>
  <c r="B449" i="17"/>
  <c r="B399" i="17"/>
  <c r="B58" i="17"/>
  <c r="B71" i="17"/>
  <c r="B330" i="17"/>
  <c r="B105" i="17"/>
  <c r="B129" i="17"/>
  <c r="B213" i="17"/>
  <c r="B328" i="17"/>
  <c r="B268" i="17"/>
  <c r="B316" i="17"/>
  <c r="B317" i="17"/>
  <c r="J29" i="12" l="1"/>
  <c r="I18" i="12"/>
  <c r="C56" i="16"/>
  <c r="C66" i="16"/>
  <c r="C68" i="16"/>
  <c r="C17" i="16" a="1"/>
  <c r="C17" i="16" s="1"/>
  <c r="C67" i="16"/>
  <c r="C65" i="16"/>
  <c r="G6" i="3"/>
  <c r="G10" i="3"/>
  <c r="J100" i="12"/>
  <c r="J89" i="12"/>
  <c r="G43" i="3"/>
  <c r="G19" i="3"/>
  <c r="L218" i="1"/>
  <c r="N191" i="1"/>
  <c r="G70" i="3"/>
  <c r="M130" i="1"/>
  <c r="M82" i="1"/>
  <c r="L111" i="3"/>
  <c r="J31" i="12"/>
  <c r="AZ17" i="8" l="1"/>
  <c r="AZ16" i="8"/>
  <c r="AZ10" i="8"/>
  <c r="AZ12" i="8" s="1"/>
  <c r="AV10" i="8"/>
  <c r="AV12" i="8" s="1"/>
  <c r="AV17" i="8"/>
  <c r="AV16" i="8"/>
  <c r="AR10" i="8"/>
  <c r="AR12" i="8" s="1"/>
  <c r="AR17" i="8"/>
  <c r="AN17" i="8"/>
  <c r="AR16" i="8"/>
  <c r="AN10" i="8"/>
  <c r="AN12" i="8" s="1"/>
  <c r="AN16" i="8"/>
  <c r="AJ10" i="8"/>
  <c r="AJ12" i="8" s="1"/>
  <c r="AJ17" i="8"/>
  <c r="AJ16" i="8"/>
  <c r="AF10" i="8"/>
  <c r="AF12" i="8" s="1"/>
  <c r="AF17" i="8"/>
  <c r="AF16" i="8"/>
  <c r="AB10" i="8"/>
  <c r="AB12" i="8" s="1"/>
  <c r="AB17" i="8"/>
  <c r="AB16" i="8"/>
  <c r="X10" i="8"/>
  <c r="X11" i="8" s="1"/>
  <c r="X17" i="8"/>
  <c r="X16" i="8"/>
  <c r="T16" i="8"/>
  <c r="T10" i="8"/>
  <c r="T12" i="8" s="1"/>
  <c r="T17" i="8"/>
  <c r="AJ11" i="8" l="1"/>
  <c r="X12" i="8"/>
  <c r="AR11" i="8"/>
  <c r="T11" i="8"/>
  <c r="G11" i="8" s="1"/>
  <c r="AB11" i="8"/>
  <c r="AZ11" i="8"/>
  <c r="AV11" i="8"/>
  <c r="AN11" i="8"/>
  <c r="AF11" i="8"/>
  <c r="P10" i="8" l="1"/>
  <c r="P12" i="8" s="1"/>
  <c r="E10" i="8" s="1"/>
  <c r="F19" i="8"/>
  <c r="F18" i="8"/>
  <c r="F17" i="8"/>
  <c r="F16" i="8"/>
  <c r="F14" i="8"/>
  <c r="F13" i="8"/>
  <c r="F12" i="8"/>
  <c r="P17" i="8"/>
  <c r="P16" i="8"/>
  <c r="P11" i="8" l="1"/>
  <c r="Q16" i="8" s="1"/>
  <c r="D10" i="8" l="1"/>
  <c r="G10" i="8" s="1"/>
  <c r="D9" i="3"/>
  <c r="B2" i="11" s="1"/>
  <c r="D62" i="1"/>
  <c r="D13" i="3"/>
  <c r="B3" i="11" s="1"/>
  <c r="C61" i="16" l="1"/>
  <c r="A16" i="9"/>
  <c r="A1" i="9"/>
  <c r="G12" i="9"/>
  <c r="A4" i="9"/>
  <c r="G17" i="9"/>
  <c r="A8" i="9"/>
  <c r="A20" i="9"/>
  <c r="A12" i="9"/>
  <c r="G20" i="9"/>
  <c r="G4" i="9"/>
  <c r="G23" i="9"/>
  <c r="G5" i="9"/>
  <c r="G32" i="9"/>
  <c r="G6" i="9"/>
  <c r="G7" i="9"/>
  <c r="G8" i="9"/>
  <c r="G9" i="9"/>
  <c r="G10" i="9"/>
  <c r="G11" i="9"/>
  <c r="A5" i="8"/>
  <c r="A39" i="8"/>
  <c r="A48" i="8"/>
  <c r="I12" i="8"/>
  <c r="A43" i="8"/>
  <c r="A40" i="8"/>
  <c r="I9" i="8"/>
  <c r="I13" i="8"/>
  <c r="A2" i="8"/>
  <c r="A9" i="8"/>
  <c r="A28" i="8"/>
  <c r="I19" i="8"/>
  <c r="D9" i="8"/>
  <c r="A44" i="8"/>
  <c r="I17" i="8"/>
  <c r="A46" i="8"/>
  <c r="A31" i="8"/>
  <c r="A23" i="8"/>
  <c r="F9" i="8"/>
  <c r="E9" i="8"/>
  <c r="C9" i="8"/>
  <c r="I16" i="8"/>
  <c r="B31" i="8"/>
  <c r="I10" i="8"/>
  <c r="A4" i="8"/>
  <c r="A36" i="8"/>
  <c r="A1" i="8"/>
  <c r="I14" i="8"/>
  <c r="I11" i="8"/>
  <c r="A3" i="8"/>
  <c r="A37" i="8"/>
  <c r="B6" i="8"/>
  <c r="A42" i="8"/>
  <c r="A47" i="8"/>
  <c r="I18" i="8"/>
  <c r="I15" i="8"/>
  <c r="C88" i="12"/>
  <c r="B1" i="4"/>
  <c r="B34" i="4"/>
  <c r="B15" i="4"/>
  <c r="B29" i="4"/>
  <c r="B44" i="4"/>
  <c r="B18" i="4"/>
  <c r="C29" i="4"/>
  <c r="B19" i="4"/>
  <c r="B30" i="4"/>
  <c r="B20" i="4"/>
  <c r="C30" i="4"/>
  <c r="B11" i="4"/>
  <c r="B43" i="4"/>
  <c r="B21" i="4"/>
  <c r="B22" i="4"/>
  <c r="C32" i="4"/>
  <c r="B25" i="4"/>
  <c r="B10" i="4"/>
  <c r="C36" i="4"/>
  <c r="C37" i="4"/>
  <c r="B14" i="4"/>
  <c r="B23" i="4"/>
  <c r="C33" i="4"/>
  <c r="B24" i="4"/>
  <c r="C34" i="4"/>
  <c r="B2" i="4"/>
  <c r="C35" i="4"/>
  <c r="B27" i="4"/>
  <c r="B28" i="4"/>
  <c r="C28" i="4"/>
  <c r="B61" i="16"/>
  <c r="B29" i="16"/>
  <c r="B11" i="16"/>
  <c r="B26" i="16"/>
  <c r="B40" i="16"/>
  <c r="B22" i="16"/>
  <c r="B37" i="16"/>
  <c r="B30" i="16"/>
  <c r="B53" i="16"/>
  <c r="B27" i="16"/>
  <c r="B52" i="16"/>
  <c r="B51" i="16"/>
  <c r="B23" i="16"/>
  <c r="B39" i="16"/>
  <c r="B21" i="16"/>
  <c r="B33" i="16"/>
  <c r="B32" i="16"/>
  <c r="B62" i="16"/>
  <c r="B64" i="16"/>
  <c r="B34" i="16"/>
  <c r="B38" i="16"/>
  <c r="B20" i="16"/>
  <c r="B17" i="16"/>
  <c r="B16" i="16"/>
  <c r="B14" i="16"/>
  <c r="B13" i="16"/>
  <c r="B12" i="16"/>
  <c r="B4" i="16"/>
  <c r="B28" i="16"/>
  <c r="C6" i="3"/>
  <c r="C29" i="3"/>
  <c r="C43" i="3"/>
  <c r="C63" i="3"/>
  <c r="C4" i="16"/>
  <c r="B41" i="16"/>
  <c r="B65" i="16"/>
  <c r="E69" i="3"/>
  <c r="D105" i="3"/>
  <c r="G139" i="3"/>
  <c r="B42" i="16"/>
  <c r="B54" i="16"/>
  <c r="B66" i="16"/>
  <c r="C7" i="3"/>
  <c r="C13" i="3"/>
  <c r="C44" i="3"/>
  <c r="C64" i="3"/>
  <c r="E105" i="3"/>
  <c r="B6" i="16"/>
  <c r="B19" i="16"/>
  <c r="B31" i="16"/>
  <c r="B67" i="16"/>
  <c r="F105" i="3"/>
  <c r="D138" i="3"/>
  <c r="H139" i="3"/>
  <c r="B7" i="16"/>
  <c r="B44" i="16"/>
  <c r="B56" i="16"/>
  <c r="B68" i="16"/>
  <c r="C8" i="3"/>
  <c r="C45" i="3"/>
  <c r="C65" i="3"/>
  <c r="B8" i="16"/>
  <c r="B45" i="16"/>
  <c r="B57" i="16"/>
  <c r="G105" i="3"/>
  <c r="N138" i="3"/>
  <c r="I139" i="3"/>
  <c r="B10" i="16"/>
  <c r="B58" i="16"/>
  <c r="C3" i="3"/>
  <c r="C9" i="3"/>
  <c r="C16" i="3"/>
  <c r="C32" i="3"/>
  <c r="C60" i="3"/>
  <c r="B47" i="16"/>
  <c r="C100" i="3"/>
  <c r="H105" i="3"/>
  <c r="O138" i="3"/>
  <c r="J139" i="3"/>
  <c r="B24" i="16"/>
  <c r="B36" i="16"/>
  <c r="B48" i="16"/>
  <c r="B60" i="16"/>
  <c r="D69" i="3"/>
  <c r="F139" i="3"/>
  <c r="C4" i="3"/>
  <c r="C33" i="3"/>
  <c r="C5" i="3"/>
  <c r="C42" i="3"/>
  <c r="B50" i="16"/>
  <c r="C10" i="3"/>
  <c r="C61" i="3"/>
  <c r="B3" i="16"/>
  <c r="H106" i="3"/>
  <c r="C11" i="3"/>
  <c r="B15" i="16"/>
  <c r="B63" i="16"/>
  <c r="C18" i="3"/>
  <c r="B25" i="16"/>
  <c r="D139" i="3"/>
  <c r="C19" i="3"/>
  <c r="E139" i="3"/>
  <c r="C2" i="16"/>
  <c r="C157" i="3"/>
  <c r="C71" i="12"/>
  <c r="B1" i="11"/>
  <c r="D59" i="1"/>
  <c r="D60" i="1"/>
  <c r="K139" i="3"/>
  <c r="C5" i="1"/>
  <c r="C21" i="1"/>
  <c r="L139" i="3"/>
  <c r="C22" i="1"/>
  <c r="C41" i="1"/>
  <c r="C75" i="1"/>
  <c r="C177" i="1"/>
  <c r="B9" i="8"/>
  <c r="D215" i="1"/>
  <c r="C11" i="12"/>
  <c r="C51" i="12"/>
  <c r="C94" i="12"/>
  <c r="C25" i="7"/>
  <c r="C149" i="3"/>
  <c r="C33" i="1"/>
  <c r="C42" i="1"/>
  <c r="C76" i="1"/>
  <c r="J188" i="1"/>
  <c r="C60" i="12"/>
  <c r="C77" i="12"/>
  <c r="C95" i="12"/>
  <c r="C103" i="12"/>
  <c r="C17" i="7"/>
  <c r="C26" i="7"/>
  <c r="B1" i="12"/>
  <c r="G19" i="1"/>
  <c r="C29" i="1"/>
  <c r="C66" i="1"/>
  <c r="G127" i="1"/>
  <c r="C176" i="1"/>
  <c r="J231" i="1"/>
  <c r="C10" i="12"/>
  <c r="C46" i="12"/>
  <c r="C76" i="12"/>
  <c r="C15" i="7"/>
  <c r="C144" i="3"/>
  <c r="C155" i="3"/>
  <c r="C10" i="1"/>
  <c r="D20" i="1"/>
  <c r="C30" i="1"/>
  <c r="C39" i="1"/>
  <c r="D79" i="1"/>
  <c r="J127" i="1"/>
  <c r="C163" i="1"/>
  <c r="L188" i="1"/>
  <c r="C232" i="1"/>
  <c r="C47" i="12"/>
  <c r="C5" i="7"/>
  <c r="C27" i="7"/>
  <c r="G20" i="1"/>
  <c r="C164" i="1"/>
  <c r="C182" i="1"/>
  <c r="C57" i="12"/>
  <c r="C78" i="12"/>
  <c r="C16" i="7"/>
  <c r="C145" i="3"/>
  <c r="C156" i="3"/>
  <c r="G11" i="1"/>
  <c r="C40" i="1"/>
  <c r="C68" i="1"/>
  <c r="D204" i="1"/>
  <c r="K11" i="1"/>
  <c r="C38" i="1"/>
  <c r="C57" i="1"/>
  <c r="C74" i="1"/>
  <c r="D127" i="1"/>
  <c r="D209" i="1"/>
  <c r="C235" i="1"/>
  <c r="C50" i="12"/>
  <c r="C91" i="12"/>
  <c r="C104" i="12"/>
  <c r="C12" i="1"/>
  <c r="C25" i="1"/>
  <c r="C77" i="1"/>
  <c r="K127" i="1"/>
  <c r="C170" i="1"/>
  <c r="C9" i="12"/>
  <c r="C18" i="7"/>
  <c r="C30" i="7"/>
  <c r="M139" i="3"/>
  <c r="C13" i="1"/>
  <c r="C43" i="1"/>
  <c r="C59" i="1"/>
  <c r="D188" i="1"/>
  <c r="C236" i="1"/>
  <c r="C28" i="12"/>
  <c r="C52" i="12"/>
  <c r="C79" i="12"/>
  <c r="C31" i="7"/>
  <c r="C31" i="1"/>
  <c r="G79" i="1"/>
  <c r="C204" i="1"/>
  <c r="C237" i="1"/>
  <c r="C54" i="12"/>
  <c r="C6" i="7"/>
  <c r="C146" i="3"/>
  <c r="C161" i="3"/>
  <c r="C32" i="1"/>
  <c r="C45" i="1"/>
  <c r="D61" i="1"/>
  <c r="C160" i="1"/>
  <c r="D205" i="1"/>
  <c r="G215" i="1"/>
  <c r="C238" i="1"/>
  <c r="C82" i="12"/>
  <c r="C21" i="7"/>
  <c r="C33" i="7"/>
  <c r="C34" i="1"/>
  <c r="C46" i="1"/>
  <c r="J79" i="1"/>
  <c r="D160" i="1"/>
  <c r="C175" i="1"/>
  <c r="C239" i="1"/>
  <c r="C83" i="12"/>
  <c r="J20" i="1"/>
  <c r="C35" i="1"/>
  <c r="K79" i="1"/>
  <c r="C161" i="1"/>
  <c r="D206" i="1"/>
  <c r="C44" i="12"/>
  <c r="C160" i="3"/>
  <c r="C14" i="1"/>
  <c r="C44" i="1"/>
  <c r="K188" i="1"/>
  <c r="C53" i="12"/>
  <c r="C32" i="7"/>
  <c r="K20" i="1"/>
  <c r="C183" i="1"/>
  <c r="C24" i="7"/>
  <c r="C2" i="12"/>
  <c r="C61" i="12"/>
  <c r="C101" i="12"/>
  <c r="C3" i="12"/>
  <c r="C62" i="12"/>
  <c r="C23" i="1"/>
  <c r="C102" i="12"/>
  <c r="C150" i="3"/>
  <c r="C124" i="1"/>
  <c r="C151" i="3"/>
  <c r="C36" i="1"/>
  <c r="D207" i="1"/>
  <c r="C10" i="7"/>
  <c r="D208" i="1"/>
  <c r="H11" i="7"/>
  <c r="C37" i="1"/>
  <c r="C127" i="1"/>
  <c r="C75" i="12"/>
  <c r="C12" i="7"/>
  <c r="C231" i="1"/>
  <c r="C13" i="7"/>
  <c r="C162" i="1"/>
  <c r="C45" i="12"/>
  <c r="J11" i="1"/>
  <c r="C90" i="12"/>
  <c r="C22" i="7"/>
  <c r="C169" i="1"/>
  <c r="C23" i="7"/>
  <c r="C14" i="7"/>
  <c r="C56" i="1"/>
  <c r="D21" i="1"/>
  <c r="I57" i="12" l="1"/>
  <c r="H18" i="12"/>
  <c r="C38" i="16" s="1"/>
  <c r="I94" i="12"/>
  <c r="I54" i="12"/>
  <c r="I50" i="12"/>
  <c r="I91" i="12"/>
  <c r="H10" i="12"/>
  <c r="C37" i="16" s="1"/>
  <c r="I22" i="7"/>
  <c r="C62" i="16" s="1"/>
  <c r="C60" i="16" s="1"/>
  <c r="I82" i="12"/>
  <c r="I67" i="12"/>
  <c r="C42" i="16" s="1"/>
  <c r="I103" i="12"/>
  <c r="I61" i="12"/>
  <c r="M189" i="1"/>
  <c r="F60" i="3"/>
  <c r="L5" i="1"/>
  <c r="C20" i="16" s="1"/>
  <c r="F65" i="3"/>
  <c r="F43" i="3"/>
  <c r="F62" i="3"/>
  <c r="F42" i="3"/>
  <c r="H156" i="3"/>
  <c r="H182" i="1"/>
  <c r="C32" i="16" s="1"/>
  <c r="I109" i="3"/>
  <c r="F64" i="3"/>
  <c r="E170" i="1"/>
  <c r="H157" i="3"/>
  <c r="F63" i="3"/>
  <c r="F61" i="3"/>
  <c r="F33" i="3"/>
  <c r="F45" i="3"/>
  <c r="E169" i="1"/>
  <c r="L23" i="1"/>
  <c r="L22" i="1"/>
  <c r="H155" i="3"/>
  <c r="C30" i="16"/>
  <c r="C54" i="16"/>
  <c r="F10" i="3"/>
  <c r="C16" i="16"/>
  <c r="C15" i="16" s="1"/>
  <c r="F32" i="3"/>
  <c r="F6" i="3"/>
  <c r="C13" i="16"/>
  <c r="F5" i="3"/>
  <c r="C52" i="16"/>
  <c r="C40" i="16"/>
  <c r="C63" i="16"/>
  <c r="F4" i="3"/>
  <c r="C48" i="16"/>
  <c r="F3" i="3"/>
  <c r="C44" i="16"/>
  <c r="C51" i="16"/>
  <c r="C21" i="16"/>
  <c r="G161" i="1"/>
  <c r="C7" i="7"/>
  <c r="C14" i="12"/>
  <c r="C6" i="12"/>
  <c r="A17" i="9"/>
  <c r="A21" i="9"/>
  <c r="A13" i="9"/>
  <c r="A5" i="9"/>
  <c r="A9" i="9"/>
  <c r="C13" i="9"/>
  <c r="C5" i="9"/>
  <c r="C21" i="9"/>
  <c r="C9" i="9"/>
  <c r="C17" i="9"/>
  <c r="C29" i="7"/>
  <c r="C58" i="12"/>
  <c r="C2" i="7"/>
  <c r="C59" i="12"/>
  <c r="C41" i="12"/>
  <c r="C20" i="7"/>
  <c r="C36" i="7"/>
  <c r="C56" i="12"/>
  <c r="C31" i="4"/>
  <c r="B7" i="8"/>
  <c r="C2" i="1"/>
  <c r="C155" i="1"/>
  <c r="C163" i="3"/>
  <c r="C64" i="1"/>
  <c r="C74" i="12"/>
  <c r="C234" i="1"/>
  <c r="C185" i="1"/>
  <c r="C242" i="1"/>
  <c r="C96" i="3"/>
  <c r="C108" i="12"/>
  <c r="C121" i="1"/>
  <c r="C9" i="7"/>
  <c r="C49" i="12"/>
  <c r="C148" i="3"/>
  <c r="C102" i="3"/>
  <c r="C93" i="12"/>
  <c r="C81" i="12"/>
  <c r="C179" i="1"/>
  <c r="C31" i="3"/>
  <c r="C172" i="1"/>
  <c r="C64" i="12"/>
  <c r="C49" i="1"/>
  <c r="C24" i="12"/>
  <c r="C67" i="3"/>
  <c r="C7" i="1"/>
  <c r="C142" i="3"/>
  <c r="C135" i="3"/>
  <c r="C71" i="1"/>
  <c r="C166" i="1"/>
  <c r="C211" i="1"/>
  <c r="C55" i="1"/>
  <c r="C159" i="3"/>
  <c r="C154" i="3"/>
  <c r="B1" i="1"/>
  <c r="A1" i="1"/>
  <c r="A1" i="12"/>
  <c r="D66" i="12"/>
  <c r="C18" i="12"/>
  <c r="C67" i="12"/>
  <c r="C98" i="12"/>
  <c r="C86" i="12"/>
  <c r="C85" i="12"/>
  <c r="C97" i="12"/>
  <c r="C66" i="12"/>
  <c r="C17" i="12"/>
  <c r="C62" i="3"/>
  <c r="E28" i="12"/>
  <c r="D17" i="12"/>
  <c r="D9" i="12"/>
  <c r="C96" i="12"/>
  <c r="C84" i="12"/>
  <c r="C69" i="12"/>
  <c r="C20" i="12"/>
  <c r="C70" i="12"/>
  <c r="C21" i="12"/>
  <c r="C87" i="12"/>
  <c r="C99" i="12"/>
  <c r="C68" i="12"/>
  <c r="C19" i="12"/>
  <c r="C39" i="12"/>
  <c r="C22" i="12"/>
  <c r="C12" i="12"/>
  <c r="C100" i="12"/>
  <c r="C89" i="12"/>
  <c r="B49" i="16"/>
  <c r="B18" i="16"/>
  <c r="B35" i="16"/>
  <c r="B55" i="16"/>
  <c r="G16" i="1"/>
  <c r="B59" i="16"/>
  <c r="B43" i="16"/>
  <c r="B5" i="16"/>
  <c r="B46" i="16"/>
  <c r="B9" i="16"/>
  <c r="C240" i="1"/>
  <c r="C47" i="1"/>
  <c r="C24" i="1"/>
  <c r="C69" i="1"/>
  <c r="C26" i="1"/>
  <c r="C67" i="1"/>
  <c r="C58" i="1"/>
  <c r="C16" i="1"/>
  <c r="J215" i="1"/>
  <c r="G188" i="1"/>
  <c r="A1" i="3"/>
  <c r="B1" i="3"/>
  <c r="G208" i="1"/>
  <c r="J232" i="1"/>
  <c r="G207" i="1"/>
  <c r="G209" i="1"/>
  <c r="C215" i="1"/>
  <c r="C188" i="1"/>
  <c r="C79" i="1"/>
  <c r="C125" i="1"/>
  <c r="C158" i="1"/>
  <c r="C2" i="3"/>
  <c r="C105" i="3"/>
  <c r="C69" i="3"/>
  <c r="C99" i="3"/>
  <c r="C138" i="3"/>
  <c r="C39" i="16"/>
  <c r="J47" i="1"/>
  <c r="G47" i="1"/>
  <c r="D52" i="12"/>
  <c r="D53" i="12" s="1"/>
  <c r="K31" i="1"/>
  <c r="K32" i="1"/>
  <c r="K33" i="1"/>
  <c r="K34" i="1"/>
  <c r="K35" i="1"/>
  <c r="K36" i="1"/>
  <c r="K37" i="1"/>
  <c r="K38" i="1"/>
  <c r="K39" i="1"/>
  <c r="K40" i="1"/>
  <c r="K41" i="1"/>
  <c r="K42" i="1"/>
  <c r="K43" i="1"/>
  <c r="K44" i="1"/>
  <c r="K30" i="1"/>
  <c r="G66" i="1"/>
  <c r="C29" i="16" l="1"/>
  <c r="C28" i="16" s="1"/>
  <c r="C22" i="16"/>
  <c r="C23" i="16" s="1"/>
  <c r="C57" i="16"/>
  <c r="C47" i="16"/>
  <c r="C58" i="16"/>
  <c r="C6" i="16"/>
  <c r="C36" i="16"/>
  <c r="C24" i="16"/>
  <c r="C3" i="16" s="1" a="1"/>
  <c r="C3" i="16" s="1"/>
  <c r="G25" i="1"/>
  <c r="J25" i="1"/>
  <c r="G231" i="1"/>
  <c r="C72" i="12"/>
  <c r="J112" i="3" l="1"/>
  <c r="J113" i="3"/>
  <c r="J114" i="3"/>
  <c r="J115" i="3"/>
  <c r="J116" i="3"/>
  <c r="J117" i="3"/>
  <c r="J118" i="3"/>
  <c r="J119" i="3"/>
  <c r="J120" i="3"/>
  <c r="J121" i="3"/>
  <c r="J122" i="3"/>
  <c r="J123" i="3"/>
  <c r="J124" i="3"/>
  <c r="J125" i="3"/>
  <c r="J126" i="3"/>
  <c r="J127" i="3"/>
  <c r="J128" i="3"/>
  <c r="J129" i="3"/>
  <c r="J130" i="3"/>
  <c r="J131" i="3"/>
  <c r="J132" i="3"/>
  <c r="J133" i="3"/>
  <c r="D146" i="1"/>
  <c r="D145" i="1"/>
  <c r="D141" i="1"/>
  <c r="D129" i="1"/>
  <c r="D128" i="1"/>
  <c r="D130" i="1"/>
  <c r="D131" i="1"/>
  <c r="D132" i="1"/>
  <c r="D133" i="1"/>
  <c r="D134" i="1"/>
  <c r="D135" i="1"/>
  <c r="D136" i="1"/>
  <c r="D137" i="1"/>
  <c r="D138" i="1"/>
  <c r="D139" i="1"/>
  <c r="D140" i="1"/>
  <c r="D142" i="1"/>
  <c r="D143" i="1"/>
  <c r="D144" i="1"/>
  <c r="D147" i="1"/>
  <c r="D148" i="1"/>
  <c r="D149" i="1"/>
  <c r="D150" i="1"/>
  <c r="D151" i="1"/>
  <c r="D152" i="1"/>
  <c r="D153" i="1"/>
  <c r="D56" i="1"/>
  <c r="K23" i="1"/>
  <c r="K24" i="1"/>
  <c r="K22" i="1"/>
  <c r="AS26" i="8"/>
  <c r="AR25" i="8"/>
  <c r="AZ18" i="8"/>
  <c r="AO26" i="8"/>
  <c r="AN25" i="8"/>
  <c r="AV18" i="8"/>
  <c r="AK26" i="8"/>
  <c r="AJ25" i="8"/>
  <c r="AR18" i="8"/>
  <c r="AG26" i="8"/>
  <c r="AF25" i="8"/>
  <c r="AN18" i="8"/>
  <c r="AC26" i="8"/>
  <c r="AB25" i="8"/>
  <c r="AJ18" i="8"/>
  <c r="Y26" i="8"/>
  <c r="X25" i="8"/>
  <c r="AF18" i="8"/>
  <c r="U26" i="8"/>
  <c r="T25" i="8"/>
  <c r="AB18" i="8"/>
  <c r="Q26" i="8"/>
  <c r="P25" i="8"/>
  <c r="X18" i="8"/>
  <c r="M26" i="8"/>
  <c r="L25" i="8"/>
  <c r="T18" i="8"/>
  <c r="A26" i="8"/>
  <c r="P18" i="8"/>
  <c r="L57" i="1" l="1"/>
  <c r="C53" i="16" s="1"/>
  <c r="C50" i="16" s="1"/>
  <c r="C11" i="16"/>
  <c r="C27" i="16"/>
  <c r="C33" i="16" l="1"/>
  <c r="G205" i="1"/>
  <c r="G206" i="1"/>
  <c r="L189" i="1" l="1"/>
  <c r="D77" i="12" l="1"/>
  <c r="G45" i="1" l="1"/>
  <c r="D177" i="1"/>
  <c r="D5" i="11"/>
  <c r="D6" i="11"/>
  <c r="D7" i="11"/>
  <c r="D8" i="11"/>
  <c r="D9" i="11"/>
  <c r="D10" i="11"/>
  <c r="D11" i="11"/>
  <c r="D12" i="11"/>
  <c r="D13" i="11"/>
  <c r="D14" i="11"/>
  <c r="D15" i="11"/>
  <c r="D16" i="11"/>
  <c r="D17" i="11"/>
  <c r="D18" i="11"/>
  <c r="D19" i="11"/>
  <c r="D20" i="11"/>
  <c r="D21" i="11"/>
  <c r="D22" i="11"/>
  <c r="D23" i="11"/>
  <c r="D24" i="11"/>
  <c r="D25" i="11"/>
  <c r="D26" i="11"/>
  <c r="A25" i="8" l="1"/>
  <c r="A27" i="8" s="1"/>
  <c r="O23" i="8" s="1"/>
  <c r="O22" i="8" l="1"/>
  <c r="F10" i="8" s="1"/>
  <c r="D62" i="12"/>
  <c r="D60" i="12"/>
  <c r="I51" i="12"/>
  <c r="C41" i="16" s="1"/>
  <c r="D47" i="12"/>
  <c r="E39" i="12"/>
  <c r="D22" i="12"/>
  <c r="D12" i="12"/>
  <c r="D11" i="12" s="1"/>
  <c r="F3" i="12"/>
  <c r="F2" i="12"/>
  <c r="K125" i="3"/>
  <c r="H113" i="3"/>
  <c r="I113" i="3" s="1"/>
  <c r="G232" i="1"/>
  <c r="P22" i="8" l="1"/>
  <c r="H17" i="7"/>
  <c r="D6" i="9"/>
  <c r="H132" i="3" l="1"/>
  <c r="I132" i="3" s="1"/>
  <c r="K133" i="3"/>
  <c r="J45" i="1" l="1"/>
  <c r="D45" i="1"/>
  <c r="D46" i="1" s="1"/>
  <c r="G68" i="1" s="1"/>
  <c r="K45" i="1" l="1"/>
  <c r="G46" i="1"/>
  <c r="J46" i="1"/>
  <c r="K110" i="3"/>
  <c r="D3" i="11" s="1"/>
  <c r="K111" i="3"/>
  <c r="K112" i="3"/>
  <c r="F5" i="11" s="1"/>
  <c r="K113" i="3"/>
  <c r="E6" i="11" s="1"/>
  <c r="K114" i="3"/>
  <c r="K115" i="3"/>
  <c r="K116" i="3"/>
  <c r="K117" i="3"/>
  <c r="K118" i="3"/>
  <c r="K119" i="3"/>
  <c r="K120" i="3"/>
  <c r="K121" i="3"/>
  <c r="F14" i="11" s="1"/>
  <c r="K122" i="3"/>
  <c r="K123" i="3"/>
  <c r="K124" i="3"/>
  <c r="E17" i="11" s="1"/>
  <c r="F18" i="11"/>
  <c r="K126" i="3"/>
  <c r="F19" i="11" s="1"/>
  <c r="K127" i="3"/>
  <c r="F20" i="11" s="1"/>
  <c r="K128" i="3"/>
  <c r="K129" i="3"/>
  <c r="K130" i="3"/>
  <c r="K131" i="3"/>
  <c r="K132" i="3"/>
  <c r="K109" i="3"/>
  <c r="D2" i="11" s="1"/>
  <c r="H118" i="3"/>
  <c r="I118" i="3" s="1"/>
  <c r="H119" i="3"/>
  <c r="I119" i="3" s="1"/>
  <c r="H120" i="3"/>
  <c r="I120" i="3" s="1"/>
  <c r="H121" i="3"/>
  <c r="I121" i="3" s="1"/>
  <c r="H122" i="3"/>
  <c r="I122" i="3" s="1"/>
  <c r="H123" i="3"/>
  <c r="I123" i="3" s="1"/>
  <c r="H124" i="3"/>
  <c r="I124" i="3" s="1"/>
  <c r="H125" i="3"/>
  <c r="I125" i="3" s="1"/>
  <c r="H126" i="3"/>
  <c r="I126" i="3" s="1"/>
  <c r="H128" i="3"/>
  <c r="I128" i="3" s="1"/>
  <c r="H129" i="3"/>
  <c r="I129" i="3" s="1"/>
  <c r="H130" i="3"/>
  <c r="I130" i="3" s="1"/>
  <c r="H131" i="3"/>
  <c r="I131" i="3" s="1"/>
  <c r="H133" i="3"/>
  <c r="I133" i="3" s="1"/>
  <c r="D47" i="1"/>
  <c r="G69" i="1" s="1"/>
  <c r="D4" i="11" l="1"/>
  <c r="F4" i="11" s="1"/>
  <c r="K47" i="1"/>
  <c r="K46" i="1"/>
  <c r="F10" i="11"/>
  <c r="E10" i="11"/>
  <c r="E15" i="11"/>
  <c r="F15" i="11"/>
  <c r="E26" i="11"/>
  <c r="F26" i="11"/>
  <c r="F11" i="11"/>
  <c r="E11" i="11"/>
  <c r="F7" i="11"/>
  <c r="E7" i="11"/>
  <c r="F25" i="11"/>
  <c r="E25" i="11"/>
  <c r="E22" i="11"/>
  <c r="F22" i="11"/>
  <c r="F24" i="11"/>
  <c r="E24" i="11"/>
  <c r="E8" i="11"/>
  <c r="F8" i="11"/>
  <c r="F13" i="11"/>
  <c r="E13" i="11"/>
  <c r="E23" i="11"/>
  <c r="F23" i="11"/>
  <c r="F21" i="11"/>
  <c r="E21" i="11"/>
  <c r="E16" i="11"/>
  <c r="F16" i="11"/>
  <c r="E12" i="11"/>
  <c r="F12" i="11"/>
  <c r="E9" i="11"/>
  <c r="F9" i="11"/>
  <c r="E14" i="11"/>
  <c r="G14" i="11" s="1"/>
  <c r="F17" i="11"/>
  <c r="G17" i="11" s="1"/>
  <c r="E20" i="11"/>
  <c r="E19" i="11"/>
  <c r="G19" i="11" s="1"/>
  <c r="E5" i="11"/>
  <c r="G5" i="11" s="1"/>
  <c r="E18" i="11"/>
  <c r="G18" i="11" s="1"/>
  <c r="F6" i="11"/>
  <c r="G6" i="11" s="1"/>
  <c r="F3" i="11"/>
  <c r="E3" i="11"/>
  <c r="E2" i="11"/>
  <c r="F2" i="11"/>
  <c r="D14" i="9"/>
  <c r="D10" i="9"/>
  <c r="E19" i="8"/>
  <c r="E18" i="8"/>
  <c r="E17" i="8"/>
  <c r="E16" i="8"/>
  <c r="E15" i="8"/>
  <c r="E14" i="8"/>
  <c r="E13" i="8"/>
  <c r="E12" i="8"/>
  <c r="E11" i="8"/>
  <c r="D19" i="8"/>
  <c r="G19" i="8" s="1"/>
  <c r="G18" i="8"/>
  <c r="G17" i="8"/>
  <c r="G16" i="8"/>
  <c r="G15" i="8"/>
  <c r="G14" i="8"/>
  <c r="G13" i="8"/>
  <c r="Y16" i="8" l="1"/>
  <c r="G12" i="8"/>
  <c r="U16" i="8"/>
  <c r="BA16" i="8"/>
  <c r="AU24" i="8"/>
  <c r="AR26" i="8" s="1"/>
  <c r="AY23" i="8" s="1"/>
  <c r="J109" i="3"/>
  <c r="J110" i="3"/>
  <c r="E4" i="11"/>
  <c r="AW16" i="8"/>
  <c r="AQ24" i="8"/>
  <c r="AN26" i="8" s="1"/>
  <c r="AU23" i="8" s="1"/>
  <c r="AM24" i="8"/>
  <c r="AJ26" i="8" s="1"/>
  <c r="AQ23" i="8" s="1"/>
  <c r="AS16" i="8"/>
  <c r="AI24" i="8"/>
  <c r="AF26" i="8" s="1"/>
  <c r="AM23" i="8" s="1"/>
  <c r="AO16" i="8"/>
  <c r="AE24" i="8"/>
  <c r="AB26" i="8" s="1"/>
  <c r="AI23" i="8" s="1"/>
  <c r="AK16" i="8"/>
  <c r="AA24" i="8"/>
  <c r="X26" i="8" s="1"/>
  <c r="AE23" i="8" s="1"/>
  <c r="AG16" i="8"/>
  <c r="W24" i="8"/>
  <c r="T26" i="8" s="1"/>
  <c r="AA23" i="8" s="1"/>
  <c r="AC16" i="8"/>
  <c r="S24" i="8"/>
  <c r="P26" i="8" s="1"/>
  <c r="W23" i="8" s="1"/>
  <c r="O24" i="8"/>
  <c r="L26" i="8" s="1"/>
  <c r="S23" i="8" s="1"/>
  <c r="G20" i="11"/>
  <c r="H127" i="3" s="1"/>
  <c r="I127" i="3" s="1"/>
  <c r="H112" i="3"/>
  <c r="I112" i="3" s="1"/>
  <c r="G13" i="11"/>
  <c r="G24" i="11"/>
  <c r="G11" i="11"/>
  <c r="C26" i="16"/>
  <c r="C25" i="16" s="1"/>
  <c r="G25" i="11"/>
  <c r="G10" i="11"/>
  <c r="H117" i="3" s="1"/>
  <c r="I117" i="3" s="1"/>
  <c r="G22" i="11"/>
  <c r="G12" i="11"/>
  <c r="G16" i="11"/>
  <c r="G21" i="11"/>
  <c r="G7" i="11"/>
  <c r="H114" i="3" s="1"/>
  <c r="I114" i="3" s="1"/>
  <c r="G23" i="11"/>
  <c r="G8" i="11"/>
  <c r="H115" i="3" s="1"/>
  <c r="I115" i="3" s="1"/>
  <c r="G15" i="11"/>
  <c r="G9" i="11"/>
  <c r="H116" i="3" s="1"/>
  <c r="I116" i="3" s="1"/>
  <c r="G26" i="11"/>
  <c r="G3" i="11"/>
  <c r="G2" i="11"/>
  <c r="H109" i="3" s="1"/>
  <c r="J26" i="1"/>
  <c r="G26" i="1"/>
  <c r="D26" i="1"/>
  <c r="G67" i="1" s="1"/>
  <c r="K25" i="1"/>
  <c r="D25" i="1"/>
  <c r="AY22" i="8" l="1"/>
  <c r="AZ22" i="8" s="1"/>
  <c r="K26" i="1"/>
  <c r="G4" i="11"/>
  <c r="H111" i="3" s="1"/>
  <c r="I111" i="3" s="1"/>
  <c r="J111" i="3"/>
  <c r="AE22" i="8"/>
  <c r="AF22" i="8" s="1"/>
  <c r="AM22" i="8"/>
  <c r="AN22" i="8" s="1"/>
  <c r="AU22" i="8"/>
  <c r="AV22" i="8" s="1"/>
  <c r="AQ22" i="8"/>
  <c r="AR22" i="8" s="1"/>
  <c r="W22" i="8"/>
  <c r="X22" i="8" s="1"/>
  <c r="AI22" i="8"/>
  <c r="AA22" i="8"/>
  <c r="AB22" i="8" s="1"/>
  <c r="S22" i="8"/>
  <c r="F11" i="8" s="1"/>
  <c r="H110" i="3"/>
  <c r="I110" i="3" s="1"/>
  <c r="L32" i="8"/>
  <c r="D15" i="6"/>
  <c r="D3" i="6"/>
  <c r="D4" i="6"/>
  <c r="D5" i="6"/>
  <c r="D6" i="6"/>
  <c r="D7" i="6"/>
  <c r="D8" i="6"/>
  <c r="D9" i="6"/>
  <c r="D10" i="6"/>
  <c r="D11" i="6"/>
  <c r="D12" i="6"/>
  <c r="D13" i="6"/>
  <c r="D14"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1" i="6"/>
  <c r="D62" i="6"/>
  <c r="D63" i="6"/>
  <c r="D64" i="6"/>
  <c r="D65" i="6"/>
  <c r="D66" i="6"/>
  <c r="D67" i="6"/>
  <c r="D68" i="6"/>
  <c r="D69" i="6"/>
  <c r="D70" i="6"/>
  <c r="D71" i="6"/>
  <c r="D72" i="6"/>
  <c r="D73" i="6"/>
  <c r="D74" i="6"/>
  <c r="D75" i="6"/>
  <c r="D76" i="6"/>
  <c r="D77" i="6"/>
  <c r="D78" i="6"/>
  <c r="D79" i="6"/>
  <c r="D80" i="6"/>
  <c r="D81" i="6"/>
  <c r="D82" i="6"/>
  <c r="D83" i="6"/>
  <c r="D84" i="6"/>
  <c r="D85" i="6"/>
  <c r="D86" i="6"/>
  <c r="D87" i="6"/>
  <c r="D88" i="6"/>
  <c r="D89" i="6"/>
  <c r="D90" i="6"/>
  <c r="D91" i="6"/>
  <c r="D92" i="6"/>
  <c r="D93" i="6"/>
  <c r="D94" i="6"/>
  <c r="D95" i="6"/>
  <c r="D96" i="6"/>
  <c r="D97" i="6"/>
  <c r="D98" i="6"/>
  <c r="D99" i="6"/>
  <c r="D100" i="6"/>
  <c r="D101" i="6"/>
  <c r="D102" i="6"/>
  <c r="D103" i="6"/>
  <c r="D104" i="6"/>
  <c r="D105" i="6"/>
  <c r="D106" i="6"/>
  <c r="D107" i="6"/>
  <c r="D108" i="6"/>
  <c r="D109" i="6"/>
  <c r="D110" i="6"/>
  <c r="D111" i="6"/>
  <c r="D112" i="6"/>
  <c r="D113" i="6"/>
  <c r="D114" i="6"/>
  <c r="D115" i="6"/>
  <c r="D116" i="6"/>
  <c r="D117" i="6"/>
  <c r="D118" i="6"/>
  <c r="D119" i="6"/>
  <c r="D120" i="6"/>
  <c r="D121" i="6"/>
  <c r="D122" i="6"/>
  <c r="D123" i="6"/>
  <c r="D124" i="6"/>
  <c r="D125" i="6"/>
  <c r="D126" i="6"/>
  <c r="D127" i="6"/>
  <c r="D128" i="6"/>
  <c r="D129" i="6"/>
  <c r="D130" i="6"/>
  <c r="D131" i="6"/>
  <c r="D132" i="6"/>
  <c r="D133" i="6"/>
  <c r="D134" i="6"/>
  <c r="D135" i="6"/>
  <c r="D136" i="6"/>
  <c r="D137" i="6"/>
  <c r="D138" i="6"/>
  <c r="D139" i="6"/>
  <c r="D140" i="6"/>
  <c r="D141" i="6"/>
  <c r="D142" i="6"/>
  <c r="D143" i="6"/>
  <c r="D144" i="6"/>
  <c r="D145" i="6"/>
  <c r="D146" i="6"/>
  <c r="D147" i="6"/>
  <c r="D148" i="6"/>
  <c r="D149" i="6"/>
  <c r="D150" i="6"/>
  <c r="D151" i="6"/>
  <c r="D152" i="6"/>
  <c r="D153" i="6"/>
  <c r="D154" i="6"/>
  <c r="D155" i="6"/>
  <c r="D156" i="6"/>
  <c r="D157" i="6"/>
  <c r="D158" i="6"/>
  <c r="D159" i="6"/>
  <c r="D160" i="6"/>
  <c r="D161" i="6"/>
  <c r="D162" i="6"/>
  <c r="D163" i="6"/>
  <c r="D164" i="6"/>
  <c r="D165" i="6"/>
  <c r="D166" i="6"/>
  <c r="D167" i="6"/>
  <c r="D168" i="6"/>
  <c r="D169" i="6"/>
  <c r="D170" i="6"/>
  <c r="D171" i="6"/>
  <c r="D172" i="6"/>
  <c r="D173" i="6"/>
  <c r="D174" i="6"/>
  <c r="D175" i="6"/>
  <c r="D176" i="6"/>
  <c r="D177" i="6"/>
  <c r="D178" i="6"/>
  <c r="D179" i="6"/>
  <c r="D180" i="6"/>
  <c r="D181" i="6"/>
  <c r="D182" i="6"/>
  <c r="D183" i="6"/>
  <c r="D184" i="6"/>
  <c r="D185" i="6"/>
  <c r="D186" i="6"/>
  <c r="D187" i="6"/>
  <c r="D188" i="6"/>
  <c r="D189" i="6"/>
  <c r="D190" i="6"/>
  <c r="D191" i="6"/>
  <c r="D192" i="6"/>
  <c r="D193" i="6"/>
  <c r="D194" i="6"/>
  <c r="D195" i="6"/>
  <c r="D196" i="6"/>
  <c r="D197" i="6"/>
  <c r="D198" i="6"/>
  <c r="D199" i="6"/>
  <c r="D200" i="6"/>
  <c r="D201" i="6"/>
  <c r="D202" i="6"/>
  <c r="D203" i="6"/>
  <c r="D204" i="6"/>
  <c r="D205" i="6"/>
  <c r="D206" i="6"/>
  <c r="D207" i="6"/>
  <c r="D208" i="6"/>
  <c r="D209" i="6"/>
  <c r="D210" i="6"/>
  <c r="D211" i="6"/>
  <c r="D212" i="6"/>
  <c r="D213" i="6"/>
  <c r="D214" i="6"/>
  <c r="D215" i="6"/>
  <c r="D216" i="6"/>
  <c r="D217" i="6"/>
  <c r="D218" i="6"/>
  <c r="D219" i="6"/>
  <c r="D220" i="6"/>
  <c r="D221" i="6"/>
  <c r="D222" i="6"/>
  <c r="D223" i="6"/>
  <c r="D224" i="6"/>
  <c r="D225" i="6"/>
  <c r="D226" i="6"/>
  <c r="D227" i="6"/>
  <c r="D228" i="6"/>
  <c r="D229" i="6"/>
  <c r="D230" i="6"/>
  <c r="D231" i="6"/>
  <c r="D232" i="6"/>
  <c r="D233" i="6"/>
  <c r="D234" i="6"/>
  <c r="D235" i="6"/>
  <c r="D236" i="6"/>
  <c r="D237" i="6"/>
  <c r="D238" i="6"/>
  <c r="D239" i="6"/>
  <c r="D240" i="6"/>
  <c r="D241" i="6"/>
  <c r="D242" i="6"/>
  <c r="D243" i="6"/>
  <c r="D244" i="6"/>
  <c r="D245" i="6"/>
  <c r="D246" i="6"/>
  <c r="D247" i="6"/>
  <c r="D248" i="6"/>
  <c r="D249" i="6"/>
  <c r="D250" i="6"/>
  <c r="D251" i="6"/>
  <c r="D252" i="6"/>
  <c r="D253" i="6"/>
  <c r="D254" i="6"/>
  <c r="D255" i="6"/>
  <c r="D256" i="6"/>
  <c r="D257" i="6"/>
  <c r="D258" i="6"/>
  <c r="D259" i="6"/>
  <c r="D260" i="6"/>
  <c r="D261" i="6"/>
  <c r="D262" i="6"/>
  <c r="D263" i="6"/>
  <c r="D264" i="6"/>
  <c r="D265" i="6"/>
  <c r="D266" i="6"/>
  <c r="D267" i="6"/>
  <c r="D268" i="6"/>
  <c r="D269" i="6"/>
  <c r="D270" i="6"/>
  <c r="D271" i="6"/>
  <c r="D272" i="6"/>
  <c r="D273" i="6"/>
  <c r="D274" i="6"/>
  <c r="D275" i="6"/>
  <c r="D276" i="6"/>
  <c r="D277" i="6"/>
  <c r="D278" i="6"/>
  <c r="D279" i="6"/>
  <c r="D280" i="6"/>
  <c r="D281" i="6"/>
  <c r="D282" i="6"/>
  <c r="D283" i="6"/>
  <c r="D284" i="6"/>
  <c r="D285" i="6"/>
  <c r="D286" i="6"/>
  <c r="D287" i="6"/>
  <c r="D288" i="6"/>
  <c r="D289" i="6"/>
  <c r="D290" i="6"/>
  <c r="D291" i="6"/>
  <c r="D292" i="6"/>
  <c r="D293" i="6"/>
  <c r="D294" i="6"/>
  <c r="D295" i="6"/>
  <c r="D296" i="6"/>
  <c r="D297" i="6"/>
  <c r="D298" i="6"/>
  <c r="D299" i="6"/>
  <c r="D300" i="6"/>
  <c r="D301" i="6"/>
  <c r="D302" i="6"/>
  <c r="D303" i="6"/>
  <c r="D304" i="6"/>
  <c r="D305" i="6"/>
  <c r="D306" i="6"/>
  <c r="D307" i="6"/>
  <c r="D308" i="6"/>
  <c r="D309" i="6"/>
  <c r="D310" i="6"/>
  <c r="D311" i="6"/>
  <c r="D312" i="6"/>
  <c r="D313" i="6"/>
  <c r="D314" i="6"/>
  <c r="D315" i="6"/>
  <c r="D316" i="6"/>
  <c r="D317" i="6"/>
  <c r="D318" i="6"/>
  <c r="D319" i="6"/>
  <c r="D320" i="6"/>
  <c r="D321" i="6"/>
  <c r="D322" i="6"/>
  <c r="D323" i="6"/>
  <c r="D324" i="6"/>
  <c r="D325" i="6"/>
  <c r="D326" i="6"/>
  <c r="D327" i="6"/>
  <c r="D328" i="6"/>
  <c r="D329" i="6"/>
  <c r="D330" i="6"/>
  <c r="D331" i="6"/>
  <c r="D332" i="6"/>
  <c r="D333" i="6"/>
  <c r="D334" i="6"/>
  <c r="D335" i="6"/>
  <c r="D336" i="6"/>
  <c r="D337" i="6"/>
  <c r="D338" i="6"/>
  <c r="D339" i="6"/>
  <c r="D340" i="6"/>
  <c r="D341" i="6"/>
  <c r="D342" i="6"/>
  <c r="D343" i="6"/>
  <c r="D344" i="6"/>
  <c r="D345" i="6"/>
  <c r="D346" i="6"/>
  <c r="D347" i="6"/>
  <c r="D348" i="6"/>
  <c r="D349" i="6"/>
  <c r="D350" i="6"/>
  <c r="D351" i="6"/>
  <c r="D352" i="6"/>
  <c r="D353" i="6"/>
  <c r="D354" i="6"/>
  <c r="D355" i="6"/>
  <c r="D356" i="6"/>
  <c r="D357" i="6"/>
  <c r="D358" i="6"/>
  <c r="D359" i="6"/>
  <c r="D360" i="6"/>
  <c r="D361" i="6"/>
  <c r="D362" i="6"/>
  <c r="D363" i="6"/>
  <c r="D364" i="6"/>
  <c r="D365" i="6"/>
  <c r="D366" i="6"/>
  <c r="D367" i="6"/>
  <c r="D368" i="6"/>
  <c r="D369" i="6"/>
  <c r="D370" i="6"/>
  <c r="D371" i="6"/>
  <c r="D372" i="6"/>
  <c r="D373" i="6"/>
  <c r="D374" i="6"/>
  <c r="D375" i="6"/>
  <c r="D376" i="6"/>
  <c r="D377" i="6"/>
  <c r="D378" i="6"/>
  <c r="D379" i="6"/>
  <c r="D380" i="6"/>
  <c r="D381" i="6"/>
  <c r="D382" i="6"/>
  <c r="D383" i="6"/>
  <c r="D384" i="6"/>
  <c r="D385" i="6"/>
  <c r="D386" i="6"/>
  <c r="D387" i="6"/>
  <c r="D388" i="6"/>
  <c r="D389" i="6"/>
  <c r="D390" i="6"/>
  <c r="D391" i="6"/>
  <c r="D392" i="6"/>
  <c r="D393" i="6"/>
  <c r="D394" i="6"/>
  <c r="D395" i="6"/>
  <c r="D396" i="6"/>
  <c r="D397" i="6"/>
  <c r="D398" i="6"/>
  <c r="D399" i="6"/>
  <c r="D400" i="6"/>
  <c r="D401" i="6"/>
  <c r="D402" i="6"/>
  <c r="D403" i="6"/>
  <c r="D404" i="6"/>
  <c r="D405" i="6"/>
  <c r="D406" i="6"/>
  <c r="D407" i="6"/>
  <c r="D408" i="6"/>
  <c r="D409" i="6"/>
  <c r="D410" i="6"/>
  <c r="D411" i="6"/>
  <c r="D412" i="6"/>
  <c r="D413" i="6"/>
  <c r="D414" i="6"/>
  <c r="D415" i="6"/>
  <c r="D416" i="6"/>
  <c r="D417" i="6"/>
  <c r="D418" i="6"/>
  <c r="D419" i="6"/>
  <c r="D420" i="6"/>
  <c r="D421" i="6"/>
  <c r="D422" i="6"/>
  <c r="D423" i="6"/>
  <c r="D424" i="6"/>
  <c r="D425" i="6"/>
  <c r="D426" i="6"/>
  <c r="D427" i="6"/>
  <c r="D428" i="6"/>
  <c r="D429" i="6"/>
  <c r="D430" i="6"/>
  <c r="D431" i="6"/>
  <c r="D432" i="6"/>
  <c r="D433" i="6"/>
  <c r="D434" i="6"/>
  <c r="D435" i="6"/>
  <c r="D436" i="6"/>
  <c r="D437" i="6"/>
  <c r="D438" i="6"/>
  <c r="D439" i="6"/>
  <c r="D440" i="6"/>
  <c r="D441" i="6"/>
  <c r="D442" i="6"/>
  <c r="D443" i="6"/>
  <c r="D444" i="6"/>
  <c r="D445" i="6"/>
  <c r="D446" i="6"/>
  <c r="D447" i="6"/>
  <c r="D448" i="6"/>
  <c r="D449" i="6"/>
  <c r="D450" i="6"/>
  <c r="D451" i="6"/>
  <c r="D452" i="6"/>
  <c r="D453" i="6"/>
  <c r="D454" i="6"/>
  <c r="D455" i="6"/>
  <c r="D456" i="6"/>
  <c r="D457" i="6"/>
  <c r="D458" i="6"/>
  <c r="D459" i="6"/>
  <c r="D460" i="6"/>
  <c r="D461" i="6"/>
  <c r="D462" i="6"/>
  <c r="D463" i="6"/>
  <c r="D464" i="6"/>
  <c r="D465" i="6"/>
  <c r="D466" i="6"/>
  <c r="D467" i="6"/>
  <c r="D468" i="6"/>
  <c r="D469" i="6"/>
  <c r="D470" i="6"/>
  <c r="D471" i="6"/>
  <c r="D472" i="6"/>
  <c r="D473" i="6"/>
  <c r="D474" i="6"/>
  <c r="D475" i="6"/>
  <c r="D476" i="6"/>
  <c r="D477" i="6"/>
  <c r="D478" i="6"/>
  <c r="D479" i="6"/>
  <c r="D480" i="6"/>
  <c r="D481" i="6"/>
  <c r="D482" i="6"/>
  <c r="D483" i="6"/>
  <c r="D484" i="6"/>
  <c r="D485" i="6"/>
  <c r="D486" i="6"/>
  <c r="D487" i="6"/>
  <c r="D488" i="6"/>
  <c r="D489" i="6"/>
  <c r="D490" i="6"/>
  <c r="D491" i="6"/>
  <c r="D492" i="6"/>
  <c r="D493" i="6"/>
  <c r="D494" i="6"/>
  <c r="D495" i="6"/>
  <c r="D496" i="6"/>
  <c r="D497" i="6"/>
  <c r="D498" i="6"/>
  <c r="D499" i="6"/>
  <c r="D500" i="6"/>
  <c r="D501" i="6"/>
  <c r="D502" i="6"/>
  <c r="D503" i="6"/>
  <c r="D504" i="6"/>
  <c r="D505" i="6"/>
  <c r="D506" i="6"/>
  <c r="D507" i="6"/>
  <c r="D508" i="6"/>
  <c r="D509" i="6"/>
  <c r="D510" i="6"/>
  <c r="D511" i="6"/>
  <c r="D512" i="6"/>
  <c r="D513" i="6"/>
  <c r="D514" i="6"/>
  <c r="D515" i="6"/>
  <c r="D516" i="6"/>
  <c r="D517" i="6"/>
  <c r="D518" i="6"/>
  <c r="D519" i="6"/>
  <c r="D520" i="6"/>
  <c r="D521" i="6"/>
  <c r="D522" i="6"/>
  <c r="D523" i="6"/>
  <c r="D524" i="6"/>
  <c r="D525" i="6"/>
  <c r="D526" i="6"/>
  <c r="D527" i="6"/>
  <c r="D528" i="6"/>
  <c r="D529" i="6"/>
  <c r="D530" i="6"/>
  <c r="D531" i="6"/>
  <c r="D532" i="6"/>
  <c r="D533" i="6"/>
  <c r="D534" i="6"/>
  <c r="D535" i="6"/>
  <c r="D536" i="6"/>
  <c r="D537" i="6"/>
  <c r="D538" i="6"/>
  <c r="D539" i="6"/>
  <c r="D540" i="6"/>
  <c r="D541" i="6"/>
  <c r="D542" i="6"/>
  <c r="D543" i="6"/>
  <c r="D544" i="6"/>
  <c r="D545" i="6"/>
  <c r="D546" i="6"/>
  <c r="D547" i="6"/>
  <c r="D548" i="6"/>
  <c r="D549" i="6"/>
  <c r="D550" i="6"/>
  <c r="D551" i="6"/>
  <c r="D552" i="6"/>
  <c r="D553" i="6"/>
  <c r="D554" i="6"/>
  <c r="D555" i="6"/>
  <c r="D556" i="6"/>
  <c r="D557" i="6"/>
  <c r="D558" i="6"/>
  <c r="D559" i="6"/>
  <c r="D560" i="6"/>
  <c r="D561" i="6"/>
  <c r="D562" i="6"/>
  <c r="D563" i="6"/>
  <c r="D564" i="6"/>
  <c r="D565" i="6"/>
  <c r="D566" i="6"/>
  <c r="D567" i="6"/>
  <c r="D568" i="6"/>
  <c r="D569" i="6"/>
  <c r="D570" i="6"/>
  <c r="D571" i="6"/>
  <c r="D572" i="6"/>
  <c r="D573" i="6"/>
  <c r="D574" i="6"/>
  <c r="D575" i="6"/>
  <c r="D576" i="6"/>
  <c r="D577" i="6"/>
  <c r="D578" i="6"/>
  <c r="D579" i="6"/>
  <c r="D580" i="6"/>
  <c r="D581" i="6"/>
  <c r="D582" i="6"/>
  <c r="D583" i="6"/>
  <c r="D584" i="6"/>
  <c r="D585" i="6"/>
  <c r="D586" i="6"/>
  <c r="D587" i="6"/>
  <c r="D588" i="6"/>
  <c r="D589" i="6"/>
  <c r="D590" i="6"/>
  <c r="D591" i="6"/>
  <c r="D592" i="6"/>
  <c r="D593" i="6"/>
  <c r="D594" i="6"/>
  <c r="D595" i="6"/>
  <c r="D596" i="6"/>
  <c r="D597" i="6"/>
  <c r="D598" i="6"/>
  <c r="D599" i="6"/>
  <c r="D600" i="6"/>
  <c r="D601" i="6"/>
  <c r="D602" i="6"/>
  <c r="D603" i="6"/>
  <c r="D604" i="6"/>
  <c r="D605" i="6"/>
  <c r="D606" i="6"/>
  <c r="D607" i="6"/>
  <c r="D608" i="6"/>
  <c r="D609" i="6"/>
  <c r="D610" i="6"/>
  <c r="D611" i="6"/>
  <c r="D612" i="6"/>
  <c r="D613" i="6"/>
  <c r="D614" i="6"/>
  <c r="D615" i="6"/>
  <c r="D616" i="6"/>
  <c r="D617" i="6"/>
  <c r="D618" i="6"/>
  <c r="D619" i="6"/>
  <c r="D620" i="6"/>
  <c r="D621" i="6"/>
  <c r="D622" i="6"/>
  <c r="D623" i="6"/>
  <c r="D624" i="6"/>
  <c r="D625" i="6"/>
  <c r="D626" i="6"/>
  <c r="D627" i="6"/>
  <c r="D628" i="6"/>
  <c r="D629" i="6"/>
  <c r="D630" i="6"/>
  <c r="D631" i="6"/>
  <c r="D632" i="6"/>
  <c r="D633" i="6"/>
  <c r="D634" i="6"/>
  <c r="D635" i="6"/>
  <c r="D636" i="6"/>
  <c r="D637" i="6"/>
  <c r="D638" i="6"/>
  <c r="D639" i="6"/>
  <c r="D640" i="6"/>
  <c r="D641" i="6"/>
  <c r="D642" i="6"/>
  <c r="D643" i="6"/>
  <c r="D644" i="6"/>
  <c r="D645" i="6"/>
  <c r="D646" i="6"/>
  <c r="D647" i="6"/>
  <c r="D648" i="6"/>
  <c r="D649" i="6"/>
  <c r="D650" i="6"/>
  <c r="D651" i="6"/>
  <c r="D652" i="6"/>
  <c r="D653" i="6"/>
  <c r="D654" i="6"/>
  <c r="D655" i="6"/>
  <c r="D656" i="6"/>
  <c r="D657" i="6"/>
  <c r="D658" i="6"/>
  <c r="D659" i="6"/>
  <c r="D660" i="6"/>
  <c r="D661" i="6"/>
  <c r="D662" i="6"/>
  <c r="D663" i="6"/>
  <c r="D664" i="6"/>
  <c r="D665" i="6"/>
  <c r="D666" i="6"/>
  <c r="D667" i="6"/>
  <c r="D668" i="6"/>
  <c r="D669" i="6"/>
  <c r="D670" i="6"/>
  <c r="D671" i="6"/>
  <c r="D672" i="6"/>
  <c r="D673" i="6"/>
  <c r="D674" i="6"/>
  <c r="D675" i="6"/>
  <c r="D676" i="6"/>
  <c r="D677" i="6"/>
  <c r="D678" i="6"/>
  <c r="D679" i="6"/>
  <c r="D680" i="6"/>
  <c r="D681" i="6"/>
  <c r="D682" i="6"/>
  <c r="D683" i="6"/>
  <c r="D684" i="6"/>
  <c r="D685" i="6"/>
  <c r="D686" i="6"/>
  <c r="D687" i="6"/>
  <c r="D688" i="6"/>
  <c r="D689" i="6"/>
  <c r="D690" i="6"/>
  <c r="D691" i="6"/>
  <c r="D692" i="6"/>
  <c r="D693" i="6"/>
  <c r="D694" i="6"/>
  <c r="D695" i="6"/>
  <c r="D696" i="6"/>
  <c r="D697" i="6"/>
  <c r="D698" i="6"/>
  <c r="D699" i="6"/>
  <c r="D700" i="6"/>
  <c r="D701" i="6"/>
  <c r="D702" i="6"/>
  <c r="D703" i="6"/>
  <c r="D704" i="6"/>
  <c r="D705" i="6"/>
  <c r="D706" i="6"/>
  <c r="D707" i="6"/>
  <c r="D708" i="6"/>
  <c r="D709" i="6"/>
  <c r="D710" i="6"/>
  <c r="D711" i="6"/>
  <c r="D712" i="6"/>
  <c r="D713" i="6"/>
  <c r="D714" i="6"/>
  <c r="D715" i="6"/>
  <c r="D716" i="6"/>
  <c r="D717" i="6"/>
  <c r="D718" i="6"/>
  <c r="D719" i="6"/>
  <c r="D720" i="6"/>
  <c r="D721" i="6"/>
  <c r="D722" i="6"/>
  <c r="D723" i="6"/>
  <c r="D724" i="6"/>
  <c r="D725" i="6"/>
  <c r="D726" i="6"/>
  <c r="D727" i="6"/>
  <c r="D728" i="6"/>
  <c r="D729" i="6"/>
  <c r="D730" i="6"/>
  <c r="D731" i="6"/>
  <c r="D732" i="6"/>
  <c r="D733" i="6"/>
  <c r="D734" i="6"/>
  <c r="D735" i="6"/>
  <c r="D736" i="6"/>
  <c r="D737" i="6"/>
  <c r="D738" i="6"/>
  <c r="D739" i="6"/>
  <c r="D740" i="6"/>
  <c r="D741" i="6"/>
  <c r="D742" i="6"/>
  <c r="D743" i="6"/>
  <c r="D744" i="6"/>
  <c r="D745" i="6"/>
  <c r="D746" i="6"/>
  <c r="D747" i="6"/>
  <c r="D748" i="6"/>
  <c r="D749" i="6"/>
  <c r="D750" i="6"/>
  <c r="D751" i="6"/>
  <c r="D752" i="6"/>
  <c r="D753" i="6"/>
  <c r="D754" i="6"/>
  <c r="D755" i="6"/>
  <c r="D756" i="6"/>
  <c r="D757" i="6"/>
  <c r="D758" i="6"/>
  <c r="D759" i="6"/>
  <c r="D760" i="6"/>
  <c r="D761" i="6"/>
  <c r="D762" i="6"/>
  <c r="D763" i="6"/>
  <c r="D764" i="6"/>
  <c r="D765" i="6"/>
  <c r="D766" i="6"/>
  <c r="D767" i="6"/>
  <c r="D768" i="6"/>
  <c r="D769" i="6"/>
  <c r="D770" i="6"/>
  <c r="D771" i="6"/>
  <c r="D772" i="6"/>
  <c r="D773" i="6"/>
  <c r="D774" i="6"/>
  <c r="D775" i="6"/>
  <c r="D776" i="6"/>
  <c r="D777" i="6"/>
  <c r="D778" i="6"/>
  <c r="D779" i="6"/>
  <c r="D780" i="6"/>
  <c r="D781" i="6"/>
  <c r="D782" i="6"/>
  <c r="D783" i="6"/>
  <c r="D784" i="6"/>
  <c r="D785" i="6"/>
  <c r="D786" i="6"/>
  <c r="D787" i="6"/>
  <c r="D788" i="6"/>
  <c r="D789" i="6"/>
  <c r="D790" i="6"/>
  <c r="D791" i="6"/>
  <c r="D792" i="6"/>
  <c r="D793" i="6"/>
  <c r="D794" i="6"/>
  <c r="D795" i="6"/>
  <c r="D796" i="6"/>
  <c r="D797" i="6"/>
  <c r="D798" i="6"/>
  <c r="D799" i="6"/>
  <c r="D800" i="6"/>
  <c r="D801" i="6"/>
  <c r="D802" i="6"/>
  <c r="D803" i="6"/>
  <c r="D804" i="6"/>
  <c r="D805" i="6"/>
  <c r="D806" i="6"/>
  <c r="D807" i="6"/>
  <c r="D808" i="6"/>
  <c r="D809" i="6"/>
  <c r="D810" i="6"/>
  <c r="D811" i="6"/>
  <c r="D812" i="6"/>
  <c r="D813" i="6"/>
  <c r="D814" i="6"/>
  <c r="D815" i="6"/>
  <c r="D816" i="6"/>
  <c r="D817" i="6"/>
  <c r="D818" i="6"/>
  <c r="D819" i="6"/>
  <c r="D820" i="6"/>
  <c r="D821" i="6"/>
  <c r="D822" i="6"/>
  <c r="D823" i="6"/>
  <c r="D824" i="6"/>
  <c r="D825" i="6"/>
  <c r="D826" i="6"/>
  <c r="D827" i="6"/>
  <c r="D828" i="6"/>
  <c r="D829" i="6"/>
  <c r="D830" i="6"/>
  <c r="D831" i="6"/>
  <c r="D832" i="6"/>
  <c r="D833" i="6"/>
  <c r="D834" i="6"/>
  <c r="D835" i="6"/>
  <c r="D836" i="6"/>
  <c r="D837" i="6"/>
  <c r="D838" i="6"/>
  <c r="D839" i="6"/>
  <c r="D840" i="6"/>
  <c r="D841" i="6"/>
  <c r="D842" i="6"/>
  <c r="D843" i="6"/>
  <c r="D844" i="6"/>
  <c r="D845" i="6"/>
  <c r="D846" i="6"/>
  <c r="D847" i="6"/>
  <c r="D848" i="6"/>
  <c r="D849" i="6"/>
  <c r="D850" i="6"/>
  <c r="D851" i="6"/>
  <c r="D852" i="6"/>
  <c r="D853" i="6"/>
  <c r="D854" i="6"/>
  <c r="D855" i="6"/>
  <c r="D856" i="6"/>
  <c r="D857" i="6"/>
  <c r="D858" i="6"/>
  <c r="D859" i="6"/>
  <c r="D860" i="6"/>
  <c r="D861" i="6"/>
  <c r="D862" i="6"/>
  <c r="D863" i="6"/>
  <c r="D864" i="6"/>
  <c r="D865" i="6"/>
  <c r="D866" i="6"/>
  <c r="D867" i="6"/>
  <c r="D868" i="6"/>
  <c r="D869" i="6"/>
  <c r="D870" i="6"/>
  <c r="D871" i="6"/>
  <c r="D872" i="6"/>
  <c r="D873" i="6"/>
  <c r="D874" i="6"/>
  <c r="D875" i="6"/>
  <c r="D876" i="6"/>
  <c r="D877" i="6"/>
  <c r="D878" i="6"/>
  <c r="D879" i="6"/>
  <c r="D880" i="6"/>
  <c r="D881" i="6"/>
  <c r="D882" i="6"/>
  <c r="D883" i="6"/>
  <c r="D884" i="6"/>
  <c r="D885" i="6"/>
  <c r="D886" i="6"/>
  <c r="D887" i="6"/>
  <c r="D888" i="6"/>
  <c r="D889" i="6"/>
  <c r="D890" i="6"/>
  <c r="D891" i="6"/>
  <c r="D892" i="6"/>
  <c r="D893" i="6"/>
  <c r="D894" i="6"/>
  <c r="D895" i="6"/>
  <c r="D896" i="6"/>
  <c r="D897" i="6"/>
  <c r="D898" i="6"/>
  <c r="D899" i="6"/>
  <c r="D900" i="6"/>
  <c r="D901" i="6"/>
  <c r="D902" i="6"/>
  <c r="D903" i="6"/>
  <c r="D904" i="6"/>
  <c r="D905" i="6"/>
  <c r="D906" i="6"/>
  <c r="D907" i="6"/>
  <c r="D908" i="6"/>
  <c r="D909" i="6"/>
  <c r="D910" i="6"/>
  <c r="D911" i="6"/>
  <c r="D912" i="6"/>
  <c r="D913" i="6"/>
  <c r="D914" i="6"/>
  <c r="D915" i="6"/>
  <c r="D916" i="6"/>
  <c r="D917" i="6"/>
  <c r="D918" i="6"/>
  <c r="D919" i="6"/>
  <c r="D920" i="6"/>
  <c r="D921" i="6"/>
  <c r="D922" i="6"/>
  <c r="D923" i="6"/>
  <c r="D924" i="6"/>
  <c r="D925" i="6"/>
  <c r="D926" i="6"/>
  <c r="D927" i="6"/>
  <c r="D928" i="6"/>
  <c r="D929" i="6"/>
  <c r="D930" i="6"/>
  <c r="D931" i="6"/>
  <c r="D932" i="6"/>
  <c r="D933" i="6"/>
  <c r="D934" i="6"/>
  <c r="D935" i="6"/>
  <c r="D936" i="6"/>
  <c r="D937" i="6"/>
  <c r="D938" i="6"/>
  <c r="D939" i="6"/>
  <c r="D940" i="6"/>
  <c r="D941" i="6"/>
  <c r="D942" i="6"/>
  <c r="D943" i="6"/>
  <c r="D944" i="6"/>
  <c r="D945" i="6"/>
  <c r="D946" i="6"/>
  <c r="D947" i="6"/>
  <c r="D948" i="6"/>
  <c r="D949" i="6"/>
  <c r="D950" i="6"/>
  <c r="D951" i="6"/>
  <c r="D952" i="6"/>
  <c r="D953" i="6"/>
  <c r="D954" i="6"/>
  <c r="D955" i="6"/>
  <c r="D956" i="6"/>
  <c r="D957" i="6"/>
  <c r="D958" i="6"/>
  <c r="D959" i="6"/>
  <c r="D960" i="6"/>
  <c r="D961" i="6"/>
  <c r="D962" i="6"/>
  <c r="D963" i="6"/>
  <c r="D964" i="6"/>
  <c r="D965" i="6"/>
  <c r="D966" i="6"/>
  <c r="D967" i="6"/>
  <c r="D968" i="6"/>
  <c r="D969" i="6"/>
  <c r="D970" i="6"/>
  <c r="D971" i="6"/>
  <c r="D972" i="6"/>
  <c r="D973" i="6"/>
  <c r="D974" i="6"/>
  <c r="D975" i="6"/>
  <c r="D976" i="6"/>
  <c r="D977" i="6"/>
  <c r="D978" i="6"/>
  <c r="D979" i="6"/>
  <c r="D980" i="6"/>
  <c r="D981" i="6"/>
  <c r="D982" i="6"/>
  <c r="D983" i="6"/>
  <c r="D984" i="6"/>
  <c r="D985" i="6"/>
  <c r="D986" i="6"/>
  <c r="D987" i="6"/>
  <c r="D988" i="6"/>
  <c r="D989" i="6"/>
  <c r="D990" i="6"/>
  <c r="D991" i="6"/>
  <c r="D992" i="6"/>
  <c r="D993" i="6"/>
  <c r="D994" i="6"/>
  <c r="D995" i="6"/>
  <c r="D996" i="6"/>
  <c r="D997" i="6"/>
  <c r="D998" i="6"/>
  <c r="D999" i="6"/>
  <c r="D1000" i="6"/>
  <c r="D1001" i="6"/>
  <c r="D1002" i="6"/>
  <c r="D1003" i="6"/>
  <c r="D1004" i="6"/>
  <c r="D1005" i="6"/>
  <c r="D1006" i="6"/>
  <c r="D1007" i="6"/>
  <c r="D1008" i="6"/>
  <c r="D1009" i="6"/>
  <c r="D1010" i="6"/>
  <c r="D1011" i="6"/>
  <c r="D1012" i="6"/>
  <c r="D1013" i="6"/>
  <c r="D1014" i="6"/>
  <c r="D1015" i="6"/>
  <c r="D1016" i="6"/>
  <c r="D1017" i="6"/>
  <c r="D1018" i="6"/>
  <c r="D1019" i="6"/>
  <c r="D1020" i="6"/>
  <c r="D1021" i="6"/>
  <c r="D1022" i="6"/>
  <c r="D1023" i="6"/>
  <c r="D1024" i="6"/>
  <c r="D1025" i="6"/>
  <c r="D1026" i="6"/>
  <c r="D1027" i="6"/>
  <c r="D1028" i="6"/>
  <c r="D1029" i="6"/>
  <c r="D1030" i="6"/>
  <c r="D1031" i="6"/>
  <c r="D1032" i="6"/>
  <c r="D1033" i="6"/>
  <c r="D1034" i="6"/>
  <c r="D1035" i="6"/>
  <c r="D1036" i="6"/>
  <c r="D1037" i="6"/>
  <c r="D1038" i="6"/>
  <c r="D1039" i="6"/>
  <c r="D1040" i="6"/>
  <c r="D1041" i="6"/>
  <c r="D1042" i="6"/>
  <c r="D1043" i="6"/>
  <c r="D1044" i="6"/>
  <c r="D1045" i="6"/>
  <c r="D1046" i="6"/>
  <c r="D1047" i="6"/>
  <c r="D1048" i="6"/>
  <c r="D1049" i="6"/>
  <c r="C14" i="16" l="1"/>
  <c r="AJ22" i="8"/>
  <c r="F15" i="8"/>
  <c r="T22" i="8"/>
  <c r="A32" i="8"/>
  <c r="G14" i="1" s="1"/>
  <c r="B32" i="8"/>
  <c r="J14" i="1" l="1"/>
  <c r="K14" i="1" s="1"/>
  <c r="A29" i="8"/>
  <c r="B26" i="8"/>
  <c r="C12" i="16" l="1"/>
  <c r="C10" i="16" s="1"/>
  <c r="L31" i="8"/>
  <c r="L33" i="8" s="1"/>
  <c r="L30" i="8" s="1"/>
  <c r="L190" i="1" l="1"/>
  <c r="J204" i="1" s="1"/>
  <c r="L191" i="1"/>
  <c r="L192" i="1"/>
  <c r="L193" i="1"/>
  <c r="L194" i="1"/>
  <c r="J208" i="1" s="1"/>
  <c r="L195" i="1"/>
  <c r="J207" i="1" s="1"/>
  <c r="L196" i="1"/>
  <c r="L197" i="1"/>
  <c r="L198" i="1"/>
  <c r="L199" i="1"/>
  <c r="L200" i="1"/>
  <c r="L201" i="1"/>
  <c r="L202" i="1"/>
  <c r="L203" i="1"/>
  <c r="J205" i="1" l="1"/>
  <c r="J209" i="1"/>
  <c r="C19" i="16" l="1"/>
  <c r="J206" i="1"/>
  <c r="K12" i="1"/>
  <c r="D22" i="9" l="1"/>
  <c r="D18" i="9"/>
  <c r="H27" i="7" l="1"/>
  <c r="I27" i="7" s="1"/>
  <c r="K13" i="1" l="1"/>
  <c r="C34" i="16" l="1"/>
  <c r="C31" i="16" s="1"/>
  <c r="C7" i="16"/>
  <c r="G3" i="6" l="1"/>
  <c r="G4" i="6"/>
  <c r="G5" i="6"/>
  <c r="G6" i="6"/>
  <c r="G7" i="6"/>
  <c r="G8" i="6"/>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0" i="6"/>
  <c r="G71" i="6"/>
  <c r="G72" i="6"/>
  <c r="G73" i="6"/>
  <c r="G74" i="6"/>
  <c r="G75" i="6"/>
  <c r="G76" i="6"/>
  <c r="G77" i="6"/>
  <c r="G78" i="6"/>
  <c r="G79" i="6"/>
  <c r="G80" i="6"/>
  <c r="G81" i="6"/>
  <c r="G82" i="6"/>
  <c r="G83" i="6"/>
  <c r="G84" i="6"/>
  <c r="G85" i="6"/>
  <c r="G86" i="6"/>
  <c r="G87" i="6"/>
  <c r="G88" i="6"/>
  <c r="G89" i="6"/>
  <c r="G90" i="6"/>
  <c r="G91" i="6"/>
  <c r="G92" i="6"/>
  <c r="G93" i="6"/>
  <c r="G94" i="6"/>
  <c r="G95" i="6"/>
  <c r="G96" i="6"/>
  <c r="G97" i="6"/>
  <c r="G98" i="6"/>
  <c r="G99" i="6"/>
  <c r="G100" i="6"/>
  <c r="G101" i="6"/>
  <c r="G102" i="6"/>
  <c r="G103" i="6"/>
  <c r="G104" i="6"/>
  <c r="G105" i="6"/>
  <c r="G106" i="6"/>
  <c r="G107" i="6"/>
  <c r="G108" i="6"/>
  <c r="G109" i="6"/>
  <c r="G110" i="6"/>
  <c r="G111" i="6"/>
  <c r="G112" i="6"/>
  <c r="G113" i="6"/>
  <c r="G114" i="6"/>
  <c r="G115" i="6"/>
  <c r="G116" i="6"/>
  <c r="G117" i="6"/>
  <c r="G118" i="6"/>
  <c r="G119" i="6"/>
  <c r="G120" i="6"/>
  <c r="G121" i="6"/>
  <c r="G122" i="6"/>
  <c r="G123" i="6"/>
  <c r="G124" i="6"/>
  <c r="G125" i="6"/>
  <c r="G126" i="6"/>
  <c r="G127" i="6"/>
  <c r="G128" i="6"/>
  <c r="G129" i="6"/>
  <c r="G130" i="6"/>
  <c r="G131" i="6"/>
  <c r="G132" i="6"/>
  <c r="G133" i="6"/>
  <c r="G134" i="6"/>
  <c r="G135" i="6"/>
  <c r="G136" i="6"/>
  <c r="G137" i="6"/>
  <c r="G138" i="6"/>
  <c r="G139" i="6"/>
  <c r="G140" i="6"/>
  <c r="G141" i="6"/>
  <c r="G142" i="6"/>
  <c r="G143" i="6"/>
  <c r="G144" i="6"/>
  <c r="G145" i="6"/>
  <c r="G146" i="6"/>
  <c r="G147" i="6"/>
  <c r="G148" i="6"/>
  <c r="G149" i="6"/>
  <c r="G150" i="6"/>
  <c r="G151" i="6"/>
  <c r="G152" i="6"/>
  <c r="G153" i="6"/>
  <c r="G154" i="6"/>
  <c r="G155" i="6"/>
  <c r="G156" i="6"/>
  <c r="G157" i="6"/>
  <c r="G158" i="6"/>
  <c r="G159" i="6"/>
  <c r="G160" i="6"/>
  <c r="G161" i="6"/>
  <c r="G162" i="6"/>
  <c r="G163" i="6"/>
  <c r="G164" i="6"/>
  <c r="G165" i="6"/>
  <c r="G166" i="6"/>
  <c r="G167" i="6"/>
  <c r="G168" i="6"/>
  <c r="G169" i="6"/>
  <c r="G170" i="6"/>
  <c r="G171" i="6"/>
  <c r="G172" i="6"/>
  <c r="G173" i="6"/>
  <c r="G174" i="6"/>
  <c r="G175" i="6"/>
  <c r="G176" i="6"/>
  <c r="G177" i="6"/>
  <c r="G178" i="6"/>
  <c r="G179" i="6"/>
  <c r="G180" i="6"/>
  <c r="G181" i="6"/>
  <c r="G182" i="6"/>
  <c r="G183" i="6"/>
  <c r="G184" i="6"/>
  <c r="G185" i="6"/>
  <c r="G186" i="6"/>
  <c r="G187" i="6"/>
  <c r="G188" i="6"/>
  <c r="G189" i="6"/>
  <c r="G190" i="6"/>
  <c r="G191" i="6"/>
  <c r="G192" i="6"/>
  <c r="G193" i="6"/>
  <c r="G194" i="6"/>
  <c r="G195" i="6"/>
  <c r="G196" i="6"/>
  <c r="G197" i="6"/>
  <c r="G198" i="6"/>
  <c r="G199" i="6"/>
  <c r="G200" i="6"/>
  <c r="G201" i="6"/>
  <c r="G202" i="6"/>
  <c r="G203" i="6"/>
  <c r="G204" i="6"/>
  <c r="G205" i="6"/>
  <c r="G206" i="6"/>
  <c r="G207" i="6"/>
  <c r="G208" i="6"/>
  <c r="G209" i="6"/>
  <c r="G210" i="6"/>
  <c r="G211" i="6"/>
  <c r="G212" i="6"/>
  <c r="G213" i="6"/>
  <c r="G214" i="6"/>
  <c r="G215" i="6"/>
  <c r="G216" i="6"/>
  <c r="G217" i="6"/>
  <c r="G218" i="6"/>
  <c r="G219" i="6"/>
  <c r="G220" i="6"/>
  <c r="G221" i="6"/>
  <c r="G222" i="6"/>
  <c r="G223" i="6"/>
  <c r="G224" i="6"/>
  <c r="G225" i="6"/>
  <c r="G226" i="6"/>
  <c r="G227" i="6"/>
  <c r="G228" i="6"/>
  <c r="G229" i="6"/>
  <c r="G230" i="6"/>
  <c r="G231" i="6"/>
  <c r="G232" i="6"/>
  <c r="G233" i="6"/>
  <c r="G234" i="6"/>
  <c r="G235" i="6"/>
  <c r="G236" i="6"/>
  <c r="G237" i="6"/>
  <c r="G238" i="6"/>
  <c r="G239" i="6"/>
  <c r="G240" i="6"/>
  <c r="G241" i="6"/>
  <c r="G242" i="6"/>
  <c r="G243" i="6"/>
  <c r="G244" i="6"/>
  <c r="G245" i="6"/>
  <c r="G246" i="6"/>
  <c r="G247" i="6"/>
  <c r="G248" i="6"/>
  <c r="G249" i="6"/>
  <c r="G250" i="6"/>
  <c r="G251" i="6"/>
  <c r="G252" i="6"/>
  <c r="G253" i="6"/>
  <c r="G254" i="6"/>
  <c r="G255" i="6"/>
  <c r="G256" i="6"/>
  <c r="G257" i="6"/>
  <c r="G2" i="6"/>
  <c r="D2" i="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<sst xmlns="http://schemas.openxmlformats.org/spreadsheetml/2006/main" count="8026" uniqueCount="7614">
  <si>
    <t>Name of the reporting entity</t>
  </si>
  <si>
    <t>N/A</t>
  </si>
  <si>
    <t>This report contains disclosures from the previous reporting period that remain unchanged</t>
  </si>
  <si>
    <t>Undertakings legal form</t>
  </si>
  <si>
    <t>Number of employees</t>
  </si>
  <si>
    <t>Country of primary operations and location of significant asset(s)</t>
  </si>
  <si>
    <t>ID</t>
  </si>
  <si>
    <t>Name</t>
  </si>
  <si>
    <t>Address</t>
  </si>
  <si>
    <t>Postal code</t>
  </si>
  <si>
    <t>City</t>
  </si>
  <si>
    <t>Country</t>
  </si>
  <si>
    <t>C1 – Strategy: Business Model and Sustainability – Related Initiatives</t>
  </si>
  <si>
    <t>Electricity (as reflected in utility billings)</t>
  </si>
  <si>
    <t>Current Reporting Period</t>
  </si>
  <si>
    <t>Row ID</t>
  </si>
  <si>
    <t>Medium of release</t>
  </si>
  <si>
    <t>Land-use type</t>
  </si>
  <si>
    <t>Total sealed area</t>
  </si>
  <si>
    <t>Total use of land</t>
  </si>
  <si>
    <t>C4 – Climate risks</t>
  </si>
  <si>
    <t>Time horizons of any climate-related hazards and transition events identified</t>
  </si>
  <si>
    <t>Type of contract</t>
  </si>
  <si>
    <t>Temporary contract</t>
  </si>
  <si>
    <t>Permanent contract</t>
  </si>
  <si>
    <t>Gender</t>
  </si>
  <si>
    <t>Male</t>
  </si>
  <si>
    <t>Female</t>
  </si>
  <si>
    <t>Other</t>
  </si>
  <si>
    <t>Not reported</t>
  </si>
  <si>
    <t>Country of employment contract</t>
  </si>
  <si>
    <t>B9 – Workforce – Health and safety</t>
  </si>
  <si>
    <t>Number of fatalities as a result of work-related injuries and work-related ill health</t>
  </si>
  <si>
    <t>C5 – Additional (general) workforce characteristics</t>
  </si>
  <si>
    <t>Total temporary workers provided by undertakings primarily engaged in employment activities</t>
  </si>
  <si>
    <t>C6 – Additional own workforce information - Human rights policies and processes</t>
  </si>
  <si>
    <t>Does the undertaking have a code of conduct or human rights policy for its own workforce?</t>
  </si>
  <si>
    <t>C7 – Severe negative human rights incidents</t>
  </si>
  <si>
    <t>B11 – Convictions and fines for corruption and bribery</t>
  </si>
  <si>
    <t>C9 – Gender diversity ratio in the governance body</t>
  </si>
  <si>
    <t>Technical Name</t>
  </si>
  <si>
    <t>Country List</t>
  </si>
  <si>
    <t>CountryAxis</t>
  </si>
  <si>
    <t>All Economic Activities (NACE) / NA [member]</t>
  </si>
  <si>
    <t>Andorra</t>
  </si>
  <si>
    <t>country:AD</t>
  </si>
  <si>
    <t>A - AGRICULTURE, FORESTRY AND FISHING</t>
  </si>
  <si>
    <t>NACE_A</t>
  </si>
  <si>
    <t>United Arab Emirates</t>
  </si>
  <si>
    <t>country:AE</t>
  </si>
  <si>
    <t>A - 01 Crop and animal production, hunting and related service activities</t>
  </si>
  <si>
    <t>NACE_A01</t>
  </si>
  <si>
    <t>Afghanistan</t>
  </si>
  <si>
    <t>country:AF</t>
  </si>
  <si>
    <t>A - 01.1 Growing of non-perennial crops</t>
  </si>
  <si>
    <t>NACE_A011</t>
  </si>
  <si>
    <t>Antigua and Barbuda</t>
  </si>
  <si>
    <t>country:AG</t>
  </si>
  <si>
    <t>A - 01.11 Growing of cereals, other than rice, leguminous crops and oil seeds</t>
  </si>
  <si>
    <t>NACE_A0111</t>
  </si>
  <si>
    <t>Anguilla</t>
  </si>
  <si>
    <t>country:AI</t>
  </si>
  <si>
    <t>A - 01.12 Growing of rice</t>
  </si>
  <si>
    <t>NACE_A0112</t>
  </si>
  <si>
    <t>Albania</t>
  </si>
  <si>
    <t>country:AL</t>
  </si>
  <si>
    <t>A - 01.13 Growing of vegetables and melons, roots and tubers</t>
  </si>
  <si>
    <t>NACE_A0113</t>
  </si>
  <si>
    <t>Armenia</t>
  </si>
  <si>
    <t>country:AM</t>
  </si>
  <si>
    <t>A - 01.14 Growing of sugar cane</t>
  </si>
  <si>
    <t>NACE_A0114</t>
  </si>
  <si>
    <t>Netherlands Antilles (before 2010-12-15)</t>
  </si>
  <si>
    <t>country:AN</t>
  </si>
  <si>
    <t>A - 01.15 Growing of tobacco</t>
  </si>
  <si>
    <t>NACE_A0115</t>
  </si>
  <si>
    <t>Angola</t>
  </si>
  <si>
    <t>country:AO</t>
  </si>
  <si>
    <t>A - 01.16 Growing of fibre crops</t>
  </si>
  <si>
    <t>NACE_A0116</t>
  </si>
  <si>
    <t>Antarctica</t>
  </si>
  <si>
    <t>country:AQ</t>
  </si>
  <si>
    <t>A - 01.19 Growing of other non-perennial crops</t>
  </si>
  <si>
    <t>NACE_A0119</t>
  </si>
  <si>
    <t>Argentina</t>
  </si>
  <si>
    <t>country:AR</t>
  </si>
  <si>
    <t>A - 01.2 Growing of perennial crops</t>
  </si>
  <si>
    <t>NACE_A012</t>
  </si>
  <si>
    <t>American Samoa</t>
  </si>
  <si>
    <t>country:AS</t>
  </si>
  <si>
    <t>A - 01.21 Growing of grapes</t>
  </si>
  <si>
    <t>NACE_A0121</t>
  </si>
  <si>
    <t>Austria</t>
  </si>
  <si>
    <t>country:AT</t>
  </si>
  <si>
    <t>A - 01.22 Growing of tropical and subtropical fruits</t>
  </si>
  <si>
    <t>NACE_A0122</t>
  </si>
  <si>
    <t>Australia</t>
  </si>
  <si>
    <t>country:AU</t>
  </si>
  <si>
    <t>A - 01.23 Growing of citrus fruits</t>
  </si>
  <si>
    <t>NACE_A0123</t>
  </si>
  <si>
    <t>Aruba</t>
  </si>
  <si>
    <t>country:AW</t>
  </si>
  <si>
    <t>A - 01.24 Growing of pome fruits and stone fruits</t>
  </si>
  <si>
    <t>NACE_A0124</t>
  </si>
  <si>
    <t>Åland Islands</t>
  </si>
  <si>
    <t>country:AX</t>
  </si>
  <si>
    <t>A - 01.25 Growing of other tree and bush fruits and nuts</t>
  </si>
  <si>
    <t>NACE_A0125</t>
  </si>
  <si>
    <t>Azerbaijan</t>
  </si>
  <si>
    <t>country:AZ</t>
  </si>
  <si>
    <t>A - 01.26 Growing of oleaginous fruits</t>
  </si>
  <si>
    <t>NACE_A0126</t>
  </si>
  <si>
    <t>Bosnia and Herzegovina</t>
  </si>
  <si>
    <t>country:BA</t>
  </si>
  <si>
    <t>A - 01.27 Growing of beverage crops</t>
  </si>
  <si>
    <t>NACE_A0127</t>
  </si>
  <si>
    <t>Barbados</t>
  </si>
  <si>
    <t>country:BB</t>
  </si>
  <si>
    <t>A - 01.28 Growing of spices, aromatic, drug and pharmaceutical crops</t>
  </si>
  <si>
    <t>NACE_A0128</t>
  </si>
  <si>
    <t>Bangladesh</t>
  </si>
  <si>
    <t>country:BD</t>
  </si>
  <si>
    <t>A - 01.29 Growing of other perennial crops</t>
  </si>
  <si>
    <t>NACE_A0129</t>
  </si>
  <si>
    <t>Belgium</t>
  </si>
  <si>
    <t>country:BE</t>
  </si>
  <si>
    <t>A - 01.3 Plant propagation</t>
  </si>
  <si>
    <t>NACE_A013</t>
  </si>
  <si>
    <t>Burkina Faso</t>
  </si>
  <si>
    <t>country:BF</t>
  </si>
  <si>
    <t>A - 01.30 Plant propagation</t>
  </si>
  <si>
    <t>NACE_A0130</t>
  </si>
  <si>
    <t>Bulgaria</t>
  </si>
  <si>
    <t>country:BG</t>
  </si>
  <si>
    <t>A - 01.4 Animal production</t>
  </si>
  <si>
    <t>NACE_A014</t>
  </si>
  <si>
    <t>Bahrain</t>
  </si>
  <si>
    <t>country:BH</t>
  </si>
  <si>
    <t>A - 01.41 Raising of dairy cattle</t>
  </si>
  <si>
    <t>NACE_A0141</t>
  </si>
  <si>
    <t>Burundi</t>
  </si>
  <si>
    <t>country:BI</t>
  </si>
  <si>
    <t>A - 01.42 Raising of other cattle and buffaloes</t>
  </si>
  <si>
    <t>NACE_A0142</t>
  </si>
  <si>
    <t>Benin</t>
  </si>
  <si>
    <t>country:BJ</t>
  </si>
  <si>
    <t>A - 01.43 Raising of horses and other equines</t>
  </si>
  <si>
    <t>NACE_A0143</t>
  </si>
  <si>
    <t>Saint Barthélemy</t>
  </si>
  <si>
    <t>country:BL</t>
  </si>
  <si>
    <t>A - 01.44 Raising of camels and camelids</t>
  </si>
  <si>
    <t>NACE_A0144</t>
  </si>
  <si>
    <t>Bermuda</t>
  </si>
  <si>
    <t>country:BM</t>
  </si>
  <si>
    <t>A - 01.45 Raising of sheep and goats</t>
  </si>
  <si>
    <t>NACE_A0145</t>
  </si>
  <si>
    <t>Brunei Darussalam</t>
  </si>
  <si>
    <t>country:BN</t>
  </si>
  <si>
    <t>A - 01.46 Raising of swine and pigs</t>
  </si>
  <si>
    <t>NACE_A0146</t>
  </si>
  <si>
    <t>Bolivia (Plurinational State of)</t>
  </si>
  <si>
    <t>country:BO</t>
  </si>
  <si>
    <t>A - 01.47 Raising of poultry</t>
  </si>
  <si>
    <t>NACE_A0147</t>
  </si>
  <si>
    <t>Bonaire, Sint Eustatius and Saba</t>
  </si>
  <si>
    <t>country:BQ</t>
  </si>
  <si>
    <t>A - 01.48 Raising of other animals</t>
  </si>
  <si>
    <t>NACE_A0148</t>
  </si>
  <si>
    <t>Brazil</t>
  </si>
  <si>
    <t>country:BR</t>
  </si>
  <si>
    <t>A - 01.5 Mixed farming</t>
  </si>
  <si>
    <t>NACE_A015</t>
  </si>
  <si>
    <t>Bahamas</t>
  </si>
  <si>
    <t>country:BS</t>
  </si>
  <si>
    <t>A - 01.50 Mixed farming</t>
  </si>
  <si>
    <t>NACE_A0150</t>
  </si>
  <si>
    <t>Bhutan</t>
  </si>
  <si>
    <t>country:BT</t>
  </si>
  <si>
    <t>A - 01.6 Support activities to agriculture and post-harvest crop activities</t>
  </si>
  <si>
    <t>NACE_A016</t>
  </si>
  <si>
    <t>Burma (before 1989-12-15)</t>
  </si>
  <si>
    <t>country:BU</t>
  </si>
  <si>
    <t>A - 01.61 Support activities for crop production</t>
  </si>
  <si>
    <t>NACE_A0161</t>
  </si>
  <si>
    <t>Bouvet Island</t>
  </si>
  <si>
    <t>country:BV</t>
  </si>
  <si>
    <t>A - 01.62 Support activities for animal production</t>
  </si>
  <si>
    <t>NACE_A0162</t>
  </si>
  <si>
    <t>Botswana</t>
  </si>
  <si>
    <t>country:BW</t>
  </si>
  <si>
    <t>A - 01.63 Post-harvest crop activities and seed processing for propagation</t>
  </si>
  <si>
    <t>NACE_A0163</t>
  </si>
  <si>
    <t>Belarus</t>
  </si>
  <si>
    <t>country:BY</t>
  </si>
  <si>
    <t>A - 01.7 Hunting, trapping and related service activities</t>
  </si>
  <si>
    <t>NACE_A017</t>
  </si>
  <si>
    <t>Belize</t>
  </si>
  <si>
    <t>country:BZ</t>
  </si>
  <si>
    <t>A - 01.70 Hunting, trapping and related service activities</t>
  </si>
  <si>
    <t>NACE_A0170</t>
  </si>
  <si>
    <t>Canada</t>
  </si>
  <si>
    <t>country:CA</t>
  </si>
  <si>
    <t>A - 02 Forestry and logging</t>
  </si>
  <si>
    <t>NACE_A02</t>
  </si>
  <si>
    <t>Cocos (Keeling) Islands</t>
  </si>
  <si>
    <t>country:CC</t>
  </si>
  <si>
    <t>A - 02.1 Silviculture and other forestry activities</t>
  </si>
  <si>
    <t>NACE_A021</t>
  </si>
  <si>
    <t>Congo (the Democratic Republic of the)</t>
  </si>
  <si>
    <t>country:CD</t>
  </si>
  <si>
    <t>A - 02.10 Silviculture and other forestry activities</t>
  </si>
  <si>
    <t>NACE_A0210</t>
  </si>
  <si>
    <t>Central African Republic</t>
  </si>
  <si>
    <t>country:CF</t>
  </si>
  <si>
    <t>A - 02.2 Logging</t>
  </si>
  <si>
    <t>NACE_A022</t>
  </si>
  <si>
    <t>Congo</t>
  </si>
  <si>
    <t>country:CG</t>
  </si>
  <si>
    <t>A - 02.20 Logging</t>
  </si>
  <si>
    <t>NACE_A0220</t>
  </si>
  <si>
    <t>Switzerland</t>
  </si>
  <si>
    <t>country:CH</t>
  </si>
  <si>
    <t>A - 02.3 Gathering of wild growing non-wood products</t>
  </si>
  <si>
    <t>NACE_A023</t>
  </si>
  <si>
    <t>Côte d'Ivoire</t>
  </si>
  <si>
    <t>country:CI</t>
  </si>
  <si>
    <t>A - 02.30 Gathering of wild growing non-wood products</t>
  </si>
  <si>
    <t>NACE_A0230</t>
  </si>
  <si>
    <t>Cook Islands</t>
  </si>
  <si>
    <t>country:CK</t>
  </si>
  <si>
    <t>A - 02.4 Support services to forestry</t>
  </si>
  <si>
    <t>NACE_A024</t>
  </si>
  <si>
    <t>Chile</t>
  </si>
  <si>
    <t>country:CL</t>
  </si>
  <si>
    <t>A - 02.40 Support services to forestry</t>
  </si>
  <si>
    <t>NACE_A0240</t>
  </si>
  <si>
    <t>Cameroon</t>
  </si>
  <si>
    <t>country:CM</t>
  </si>
  <si>
    <t>A - 03 Fishing and aquaculture</t>
  </si>
  <si>
    <t>NACE_A03</t>
  </si>
  <si>
    <t>China</t>
  </si>
  <si>
    <t>country:CN</t>
  </si>
  <si>
    <t>A - 03.1 Fishing</t>
  </si>
  <si>
    <t>NACE_A031</t>
  </si>
  <si>
    <t>Colombia</t>
  </si>
  <si>
    <t>country:CO</t>
  </si>
  <si>
    <t>A - 03.11 Marine fishing</t>
  </si>
  <si>
    <t>NACE_A0311</t>
  </si>
  <si>
    <t>Costa Rica</t>
  </si>
  <si>
    <t>country:CR</t>
  </si>
  <si>
    <t>A - 03.12 Freshwater fishing</t>
  </si>
  <si>
    <t>NACE_A0312</t>
  </si>
  <si>
    <t>Serbia and Montenegro (before 2006-09-26)</t>
  </si>
  <si>
    <t>country:CS</t>
  </si>
  <si>
    <t>A - 03.2 Aquaculture</t>
  </si>
  <si>
    <t>NACE_A032</t>
  </si>
  <si>
    <t>Cuba</t>
  </si>
  <si>
    <t>country:CU</t>
  </si>
  <si>
    <t>A - 03.21 Marine aquaculture</t>
  </si>
  <si>
    <t>NACE_A0321</t>
  </si>
  <si>
    <t>Cabo Verde</t>
  </si>
  <si>
    <t>country:CV</t>
  </si>
  <si>
    <t>A - 03.22 Freshwater aquaculture</t>
  </si>
  <si>
    <t>NACE_A0322</t>
  </si>
  <si>
    <t>Curaçao</t>
  </si>
  <si>
    <t>country:CW</t>
  </si>
  <si>
    <t>A - 03.3 Support activities for fishing and aquaculture</t>
  </si>
  <si>
    <t>NACE_A033</t>
  </si>
  <si>
    <t>Christmas Island</t>
  </si>
  <si>
    <t>country:CX</t>
  </si>
  <si>
    <t>A - 03.30 Support activities for fishing and aquaculture</t>
  </si>
  <si>
    <t>NACE_A0330</t>
  </si>
  <si>
    <t>Cyprus</t>
  </si>
  <si>
    <t>country:CY</t>
  </si>
  <si>
    <t>B - MINING AND QUARRYING</t>
  </si>
  <si>
    <t>NACE_B</t>
  </si>
  <si>
    <t>Czechia</t>
  </si>
  <si>
    <t>country:CZ</t>
  </si>
  <si>
    <t>B - 04 Mining of coal and lignite</t>
  </si>
  <si>
    <t>NACE_B04</t>
  </si>
  <si>
    <t>Germany</t>
  </si>
  <si>
    <t>country:DE</t>
  </si>
  <si>
    <t>B - 05.1 Mining of hard coal</t>
  </si>
  <si>
    <t>NACE_B051</t>
  </si>
  <si>
    <t>Djibouti</t>
  </si>
  <si>
    <t>country:DJ</t>
  </si>
  <si>
    <t>B - 05.10 Mining of hard coal</t>
  </si>
  <si>
    <t>NACE_B0510</t>
  </si>
  <si>
    <t>Denmark</t>
  </si>
  <si>
    <t>country:DK</t>
  </si>
  <si>
    <t>B - 05.2 Mining of lignite</t>
  </si>
  <si>
    <t>NACE_B052</t>
  </si>
  <si>
    <t>Dominica</t>
  </si>
  <si>
    <t>country:DM</t>
  </si>
  <si>
    <t>B - 05.20 Mining of lignite</t>
  </si>
  <si>
    <t>NACE_B0520</t>
  </si>
  <si>
    <t>Dominican Republic</t>
  </si>
  <si>
    <t>country:DO</t>
  </si>
  <si>
    <t>B - 05 Extraction of crude petroleum and natural gas</t>
  </si>
  <si>
    <t>NACE_B05</t>
  </si>
  <si>
    <t>Algeria</t>
  </si>
  <si>
    <t>country:DZ</t>
  </si>
  <si>
    <t>B - 06.1 Extraction of crude petroleum</t>
  </si>
  <si>
    <t>NACE_B061</t>
  </si>
  <si>
    <t>Ecuador</t>
  </si>
  <si>
    <t>country:EC</t>
  </si>
  <si>
    <t>B - 06.10 Extraction of crude petroleum</t>
  </si>
  <si>
    <t>NACE_B0610</t>
  </si>
  <si>
    <t>Estonia</t>
  </si>
  <si>
    <t>country:EE</t>
  </si>
  <si>
    <t>B - 06.2 Extraction of natural gas</t>
  </si>
  <si>
    <t>NACE_B062</t>
  </si>
  <si>
    <t>Egypt</t>
  </si>
  <si>
    <t>country:EG</t>
  </si>
  <si>
    <t>B - 06.20 Extraction of natural gas</t>
  </si>
  <si>
    <t>NACE_B0620</t>
  </si>
  <si>
    <t>Western Sahara*</t>
  </si>
  <si>
    <t>country:EH</t>
  </si>
  <si>
    <t>B - 06 Mining of metal ores</t>
  </si>
  <si>
    <t>NACE_B06</t>
  </si>
  <si>
    <t>Eritrea</t>
  </si>
  <si>
    <t>country:ER</t>
  </si>
  <si>
    <t>B - 07.1 Mining of iron ores</t>
  </si>
  <si>
    <t>NACE_B071</t>
  </si>
  <si>
    <t>Spain</t>
  </si>
  <si>
    <t>country:ES</t>
  </si>
  <si>
    <t>B - 07.10 Mining of iron ores</t>
  </si>
  <si>
    <t>NACE_B0710</t>
  </si>
  <si>
    <t>Ethiopia</t>
  </si>
  <si>
    <t>country:ET</t>
  </si>
  <si>
    <t>B - 07.2 Mining of non-ferrous metal ores</t>
  </si>
  <si>
    <t>NACE_B072</t>
  </si>
  <si>
    <t>Finland</t>
  </si>
  <si>
    <t>country:FI</t>
  </si>
  <si>
    <t>B - 07.21 Mining of uranium and thorium ores</t>
  </si>
  <si>
    <t>NACE_B0721</t>
  </si>
  <si>
    <t>Fiji</t>
  </si>
  <si>
    <t>country:FJ</t>
  </si>
  <si>
    <t>B - 07.29 Mining of other non-ferrous metal ores</t>
  </si>
  <si>
    <t>NACE_B0729</t>
  </si>
  <si>
    <t>Falkland Islands (the) [Malvinas]</t>
  </si>
  <si>
    <t>country:FK</t>
  </si>
  <si>
    <t>B - 07 Other mining and quarrying</t>
  </si>
  <si>
    <t>NACE_B07</t>
  </si>
  <si>
    <t>Micronesia (Federated States of)</t>
  </si>
  <si>
    <t>country:FM</t>
  </si>
  <si>
    <t>B - 08.1 Quarrying of stone, sand and clay</t>
  </si>
  <si>
    <t>NACE_B081</t>
  </si>
  <si>
    <t>Faroe Islands</t>
  </si>
  <si>
    <t>country:FO</t>
  </si>
  <si>
    <t>B - 08.11 Quarrying of ornamental stone, limestone, gypsum, slate and other stone</t>
  </si>
  <si>
    <t>NACE_B0811</t>
  </si>
  <si>
    <t>France</t>
  </si>
  <si>
    <t>country:FR</t>
  </si>
  <si>
    <t>B - 08.12 Operation of gravel and sand pits and mining of clay and kaolin</t>
  </si>
  <si>
    <t>NACE_B0812</t>
  </si>
  <si>
    <t>Gabon</t>
  </si>
  <si>
    <t>country:GA</t>
  </si>
  <si>
    <t>B - 08.9 Mining and quarrying n.e.c.</t>
  </si>
  <si>
    <t>NACE_B089</t>
  </si>
  <si>
    <t>United Kingdom of Great Britain and Northern Ireland</t>
  </si>
  <si>
    <t>country:GB</t>
  </si>
  <si>
    <t>B - 08.91 Mining of chemical and fertiliser minerals</t>
  </si>
  <si>
    <t>NACE_B0891</t>
  </si>
  <si>
    <t>Grenada</t>
  </si>
  <si>
    <t>country:GD</t>
  </si>
  <si>
    <t>B - 08.92 Extraction of peat</t>
  </si>
  <si>
    <t>NACE_B0892</t>
  </si>
  <si>
    <t>Georgia</t>
  </si>
  <si>
    <t>country:GE</t>
  </si>
  <si>
    <t>B - 08.93 Extraction of salt</t>
  </si>
  <si>
    <t>NACE_B0893</t>
  </si>
  <si>
    <t>French Guiana</t>
  </si>
  <si>
    <t>country:GF</t>
  </si>
  <si>
    <t>B - 08.99 Other mining and quarrying n.e.c.</t>
  </si>
  <si>
    <t>NACE_B0899</t>
  </si>
  <si>
    <t>Guernsey</t>
  </si>
  <si>
    <t>country:GG</t>
  </si>
  <si>
    <t>B - 08 Mining support service activities</t>
  </si>
  <si>
    <t>NACE_B08</t>
  </si>
  <si>
    <t>Ghana</t>
  </si>
  <si>
    <t>country:GH</t>
  </si>
  <si>
    <t>B - 09.1 Support activities for petroleum and natural gas extraction</t>
  </si>
  <si>
    <t>NACE_B091</t>
  </si>
  <si>
    <t>Gibraltar</t>
  </si>
  <si>
    <t>country:GI</t>
  </si>
  <si>
    <t>B - 09.10 Support activities for petroleum and natural gas extraction</t>
  </si>
  <si>
    <t>NACE_B0910</t>
  </si>
  <si>
    <t>Greenland</t>
  </si>
  <si>
    <t>country:GL</t>
  </si>
  <si>
    <t>B - 09.9 Support activities for other mining and quarrying</t>
  </si>
  <si>
    <t>NACE_B099</t>
  </si>
  <si>
    <t>Gambia</t>
  </si>
  <si>
    <t>country:GM</t>
  </si>
  <si>
    <t>B - 09.90 Support activities for other mining and quarrying</t>
  </si>
  <si>
    <t>NACE_B0990</t>
  </si>
  <si>
    <t>Guinea</t>
  </si>
  <si>
    <t>country:GN</t>
  </si>
  <si>
    <t>C - MANUFACTURING</t>
  </si>
  <si>
    <t>NACE_C</t>
  </si>
  <si>
    <t>Guadeloupe</t>
  </si>
  <si>
    <t>country:GP</t>
  </si>
  <si>
    <t>C - 10 Manufacture of food products</t>
  </si>
  <si>
    <t>NACE_C10</t>
  </si>
  <si>
    <t>Equatorial Guinea</t>
  </si>
  <si>
    <t>country:GQ</t>
  </si>
  <si>
    <t>C - 10.1 Processing and preserving of meat and production of meat products</t>
  </si>
  <si>
    <t>NACE_C101</t>
  </si>
  <si>
    <t>Greece</t>
  </si>
  <si>
    <t>country:GR</t>
  </si>
  <si>
    <t>C - 10.11 Processing and preserving of meat, except of poultry meat</t>
  </si>
  <si>
    <t>NACE_C1011</t>
  </si>
  <si>
    <t>South Georgia and the South Sandwich Islands</t>
  </si>
  <si>
    <t>country:GS</t>
  </si>
  <si>
    <t>C - 10.12 Processing and preserving of poultry meat</t>
  </si>
  <si>
    <t>NACE_C1012</t>
  </si>
  <si>
    <t>Guatemala</t>
  </si>
  <si>
    <t>country:GT</t>
  </si>
  <si>
    <t>C - 10.13 Production of meat and poultry meat products</t>
  </si>
  <si>
    <t>NACE_C1013</t>
  </si>
  <si>
    <t>Guam</t>
  </si>
  <si>
    <t>country:GU</t>
  </si>
  <si>
    <t>C - 10.2 Processing and preserving of fish, crustaceans and molluscs</t>
  </si>
  <si>
    <t>NACE_C102</t>
  </si>
  <si>
    <t>Guinea-Bissau</t>
  </si>
  <si>
    <t>country:GW</t>
  </si>
  <si>
    <t>C - 10.20 Processing and preserving of fish, crustaceans and molluscs</t>
  </si>
  <si>
    <t>NACE_C1020</t>
  </si>
  <si>
    <t>Guyana</t>
  </si>
  <si>
    <t>country:GY</t>
  </si>
  <si>
    <t>C - 10.3 Processing and preserving of fruit and vegetables</t>
  </si>
  <si>
    <t>NACE_C103</t>
  </si>
  <si>
    <t>Hong Kong</t>
  </si>
  <si>
    <t>country:HK</t>
  </si>
  <si>
    <t>C - 10.31 Processing and preserving of potatoes</t>
  </si>
  <si>
    <t>NACE_C1031</t>
  </si>
  <si>
    <t>Heard Island and McDonald Islands</t>
  </si>
  <si>
    <t>country:HM</t>
  </si>
  <si>
    <t>C - 10.32 Manufacture of fruit and vegetable juice</t>
  </si>
  <si>
    <t>NACE_C1032</t>
  </si>
  <si>
    <t>Honduras</t>
  </si>
  <si>
    <t>country:HN</t>
  </si>
  <si>
    <t>C - 10.39 Other processing and preserving of fruit and vegetables</t>
  </si>
  <si>
    <t>NACE_C1039</t>
  </si>
  <si>
    <t>Croatia</t>
  </si>
  <si>
    <t>country:HR</t>
  </si>
  <si>
    <t>C - 10.4 Manufacture of vegetable and animal oils and fats</t>
  </si>
  <si>
    <t>NACE_C104</t>
  </si>
  <si>
    <t>Haiti</t>
  </si>
  <si>
    <t>country:HT</t>
  </si>
  <si>
    <t>C - 10.41 Manufacture of oils and fats</t>
  </si>
  <si>
    <t>NACE_C1041</t>
  </si>
  <si>
    <t>Hungary</t>
  </si>
  <si>
    <t>country:HU</t>
  </si>
  <si>
    <t>C - 10.42 Manufacture of margarine and similar edible fats</t>
  </si>
  <si>
    <t>NACE_C1042</t>
  </si>
  <si>
    <t>Indonesia</t>
  </si>
  <si>
    <t>country:ID</t>
  </si>
  <si>
    <t>C - 10.5 Manufacture of dairy products and edible ice</t>
  </si>
  <si>
    <t>NACE_C105</t>
  </si>
  <si>
    <t>Ireland</t>
  </si>
  <si>
    <t>country:IE</t>
  </si>
  <si>
    <t>C - 10.51 Manufacture of dairy products</t>
  </si>
  <si>
    <t>NACE_C1051</t>
  </si>
  <si>
    <t>Israel</t>
  </si>
  <si>
    <t>country:IL</t>
  </si>
  <si>
    <t>C - 10.52 Manufacture of ice cream and other edible ice</t>
  </si>
  <si>
    <t>NACE_C1052</t>
  </si>
  <si>
    <t>Isle of Man</t>
  </si>
  <si>
    <t>country:IM</t>
  </si>
  <si>
    <t>C - 10.6 Manufacture of grain mill products, starches and starch products</t>
  </si>
  <si>
    <t>NACE_C106</t>
  </si>
  <si>
    <t>India</t>
  </si>
  <si>
    <t>country:IN</t>
  </si>
  <si>
    <t>C - 10.61 Manufacture of grain mill products</t>
  </si>
  <si>
    <t>NACE_C1061</t>
  </si>
  <si>
    <t>British Indian Ocean Territory</t>
  </si>
  <si>
    <t>country:IO</t>
  </si>
  <si>
    <t>C - 10.62 Manufacture of starches and starch products</t>
  </si>
  <si>
    <t>NACE_C1062</t>
  </si>
  <si>
    <t>Iraq</t>
  </si>
  <si>
    <t>country:IQ</t>
  </si>
  <si>
    <t>C - 10.7 Manufacture of bakery and farinaceous products</t>
  </si>
  <si>
    <t>NACE_C107</t>
  </si>
  <si>
    <t>Iran (Islamic Republic of)</t>
  </si>
  <si>
    <t>country:IR</t>
  </si>
  <si>
    <t>C - 10.71 Manufacture of bread; manufacture of fresh pastry goods and cakes</t>
  </si>
  <si>
    <t>NACE_C1071</t>
  </si>
  <si>
    <t>Iceland</t>
  </si>
  <si>
    <t>country:IS</t>
  </si>
  <si>
    <t>C - 10.72 Manufacture of rusks, biscuits, preserved pastries and cakes</t>
  </si>
  <si>
    <t>NACE_C1072</t>
  </si>
  <si>
    <t>Italy</t>
  </si>
  <si>
    <t>country:IT</t>
  </si>
  <si>
    <t>C - 10.73 Manufacture of farinaceous products</t>
  </si>
  <si>
    <t>NACE_C1073</t>
  </si>
  <si>
    <t>Jersey</t>
  </si>
  <si>
    <t>country:JE</t>
  </si>
  <si>
    <t>C - 10.8 Manufacture of other food products</t>
  </si>
  <si>
    <t>NACE_C108</t>
  </si>
  <si>
    <t>Jamaica</t>
  </si>
  <si>
    <t>country:JM</t>
  </si>
  <si>
    <t>C - 10.81 Manufacture of sugar</t>
  </si>
  <si>
    <t>NACE_C1081</t>
  </si>
  <si>
    <t>Jordan</t>
  </si>
  <si>
    <t>country:JO</t>
  </si>
  <si>
    <t>C - 10.82 Manufacture of cocoa, chocolate and sugar confectionery</t>
  </si>
  <si>
    <t>NACE_C1082</t>
  </si>
  <si>
    <t>Japan</t>
  </si>
  <si>
    <t>country:JP</t>
  </si>
  <si>
    <t>C - 10.83 Processing of tea and coffee</t>
  </si>
  <si>
    <t>NACE_C1083</t>
  </si>
  <si>
    <t>Kenya</t>
  </si>
  <si>
    <t>country:KE</t>
  </si>
  <si>
    <t>C - 10.84 Manufacture of condiments and seasonings</t>
  </si>
  <si>
    <t>NACE_C1084</t>
  </si>
  <si>
    <t>Kyrgyzstan</t>
  </si>
  <si>
    <t>country:KG</t>
  </si>
  <si>
    <t>C - 10.85 Manufacture of prepared meals and dishes</t>
  </si>
  <si>
    <t>NACE_C1085</t>
  </si>
  <si>
    <t>Cambodia</t>
  </si>
  <si>
    <t>country:KH</t>
  </si>
  <si>
    <t>C - 10.86 Manufacture of homogenised food preparations and dietetic food</t>
  </si>
  <si>
    <t>NACE_C1086</t>
  </si>
  <si>
    <t>Kiribati</t>
  </si>
  <si>
    <t>country:KI</t>
  </si>
  <si>
    <t>C - 10.89 Manufacture of other food products n.e.c.</t>
  </si>
  <si>
    <t>NACE_C1089</t>
  </si>
  <si>
    <t>Comoros</t>
  </si>
  <si>
    <t>country:KM</t>
  </si>
  <si>
    <t>C - 10.9 Manufacture of prepared animal feeds</t>
  </si>
  <si>
    <t>NACE_C109</t>
  </si>
  <si>
    <t>Saint Kitts and Nevis</t>
  </si>
  <si>
    <t>country:KN</t>
  </si>
  <si>
    <t>C - 10.91 Manufacture of prepared feeds for farm animals</t>
  </si>
  <si>
    <t>NACE_C1091</t>
  </si>
  <si>
    <t>Korea (the Democratic People's Republic of)</t>
  </si>
  <si>
    <t>country:KP</t>
  </si>
  <si>
    <t>C - 10.92 Manufacture of prepared pet foods</t>
  </si>
  <si>
    <t>NACE_C1092</t>
  </si>
  <si>
    <t>Korea (the Republic of)</t>
  </si>
  <si>
    <t>country:KR</t>
  </si>
  <si>
    <t>C - 11 Manufacture of beverages</t>
  </si>
  <si>
    <t>NACE_C11</t>
  </si>
  <si>
    <t>Kuwait</t>
  </si>
  <si>
    <t>country:KW</t>
  </si>
  <si>
    <t>C - 11.0 Manufacture of beverages</t>
  </si>
  <si>
    <t>NACE_C110</t>
  </si>
  <si>
    <t>Cayman Islands</t>
  </si>
  <si>
    <t>country:KY</t>
  </si>
  <si>
    <t>C - 11.01 Distilling, rectifying and blending of spirits</t>
  </si>
  <si>
    <t>NACE_C1101</t>
  </si>
  <si>
    <t>Kazakhstan</t>
  </si>
  <si>
    <t>country:KZ</t>
  </si>
  <si>
    <t>C - 11.02 Manufacture of wine from grape</t>
  </si>
  <si>
    <t>NACE_C1102</t>
  </si>
  <si>
    <t>Lao People's Democratic Republic</t>
  </si>
  <si>
    <t>country:LA</t>
  </si>
  <si>
    <t>C - 11.03 Manufacture of cider and other fermented fruit beverages</t>
  </si>
  <si>
    <t>NACE_C1103</t>
  </si>
  <si>
    <t>Lebanon</t>
  </si>
  <si>
    <t>country:LB</t>
  </si>
  <si>
    <t>C - 11.04 Manufacture of other non-distilled fermented beverages</t>
  </si>
  <si>
    <t>NACE_C1104</t>
  </si>
  <si>
    <t>Saint Lucia</t>
  </si>
  <si>
    <t>country:LC</t>
  </si>
  <si>
    <t>C - 11.05 Manufacture of beer</t>
  </si>
  <si>
    <t>NACE_C1105</t>
  </si>
  <si>
    <t>Liechtenstein</t>
  </si>
  <si>
    <t>country:LI</t>
  </si>
  <si>
    <t>C - 11.06 Manufacture of malt</t>
  </si>
  <si>
    <t>NACE_C1106</t>
  </si>
  <si>
    <t>Sri Lanka</t>
  </si>
  <si>
    <t>country:LK</t>
  </si>
  <si>
    <t>C - 11.07 Manufacture of soft drinks and bottled waters</t>
  </si>
  <si>
    <t>NACE_C1107</t>
  </si>
  <si>
    <t>Liberia</t>
  </si>
  <si>
    <t>country:LR</t>
  </si>
  <si>
    <t>C - 12 Manufacture of tobacco products</t>
  </si>
  <si>
    <t>NACE_C12</t>
  </si>
  <si>
    <t>Lesotho</t>
  </si>
  <si>
    <t>country:LS</t>
  </si>
  <si>
    <t>C - 12.0 Manufacture of tobacco products</t>
  </si>
  <si>
    <t>NACE_C120</t>
  </si>
  <si>
    <t>Lithuania</t>
  </si>
  <si>
    <t>country:LT</t>
  </si>
  <si>
    <t>C - 12.00 Manufacture of tobacco products</t>
  </si>
  <si>
    <t>NACE_C1200</t>
  </si>
  <si>
    <t>Luxembourg</t>
  </si>
  <si>
    <t>country:LU</t>
  </si>
  <si>
    <t>C - 13 Manufacture of textiles</t>
  </si>
  <si>
    <t>NACE_C13</t>
  </si>
  <si>
    <t>Latvia</t>
  </si>
  <si>
    <t>country:LV</t>
  </si>
  <si>
    <t>C - 13.1 Preparation and spinning of textile fibres</t>
  </si>
  <si>
    <t>NACE_C131</t>
  </si>
  <si>
    <t>Libya</t>
  </si>
  <si>
    <t>country:LY</t>
  </si>
  <si>
    <t>C - 13.10 Preparation and spinning of textile fibres</t>
  </si>
  <si>
    <t>NACE_C1310</t>
  </si>
  <si>
    <t>Morocco</t>
  </si>
  <si>
    <t>country:MA</t>
  </si>
  <si>
    <t>C - 13.2 Weaving of textiles</t>
  </si>
  <si>
    <t>NACE_C132</t>
  </si>
  <si>
    <t>Monaco</t>
  </si>
  <si>
    <t>country:MC</t>
  </si>
  <si>
    <t>C - 13.20 Weaving of textiles</t>
  </si>
  <si>
    <t>NACE_C1320</t>
  </si>
  <si>
    <t>Moldova (the Republic of)</t>
  </si>
  <si>
    <t>country:MD</t>
  </si>
  <si>
    <t>C - 13.3 Finishing of textiles</t>
  </si>
  <si>
    <t>NACE_C133</t>
  </si>
  <si>
    <t>Montenegro</t>
  </si>
  <si>
    <t>country:ME</t>
  </si>
  <si>
    <t>C - 13.30 Finishing of textiles</t>
  </si>
  <si>
    <t>NACE_C1330</t>
  </si>
  <si>
    <t>Saint Martin (French part)</t>
  </si>
  <si>
    <t>country:MF</t>
  </si>
  <si>
    <t>C - 13.9 Manufacture of other textiles</t>
  </si>
  <si>
    <t>NACE_C139</t>
  </si>
  <si>
    <t>Madagascar</t>
  </si>
  <si>
    <t>country:MG</t>
  </si>
  <si>
    <t>C - 13.91 Manufacture of knitted and crocheted fabrics</t>
  </si>
  <si>
    <t>NACE_C1391</t>
  </si>
  <si>
    <t>Marshall Islands</t>
  </si>
  <si>
    <t>country:MH</t>
  </si>
  <si>
    <t>C - 13.92 Manufacture of household textiles and made-up furnishing articles</t>
  </si>
  <si>
    <t>NACE_C1392</t>
  </si>
  <si>
    <t>North Macedonia</t>
  </si>
  <si>
    <t>country:MK</t>
  </si>
  <si>
    <t>C - 13.93 Manufacture of carpets and rugs</t>
  </si>
  <si>
    <t>NACE_C1393</t>
  </si>
  <si>
    <t>Mali</t>
  </si>
  <si>
    <t>country:ML</t>
  </si>
  <si>
    <t>C - 13.94 Manufacture of cordage, rope, twine and netting</t>
  </si>
  <si>
    <t>NACE_C1394</t>
  </si>
  <si>
    <t>Myanmar</t>
  </si>
  <si>
    <t>country:MM</t>
  </si>
  <si>
    <t>C - 13.95 Manufacture of non-wovens and non-woven articles</t>
  </si>
  <si>
    <t>NACE_C1395</t>
  </si>
  <si>
    <t>Mongolia</t>
  </si>
  <si>
    <t>country:MN</t>
  </si>
  <si>
    <t>C - 13.96 Manufacture of other technical and industrial textiles</t>
  </si>
  <si>
    <t>NACE_C1396</t>
  </si>
  <si>
    <t>Macao</t>
  </si>
  <si>
    <t>country:MO</t>
  </si>
  <si>
    <t>C - 13.99 Manufacture of other textiles n.e.c.</t>
  </si>
  <si>
    <t>NACE_C1399</t>
  </si>
  <si>
    <t>Northern Mariana Islands</t>
  </si>
  <si>
    <t>country:MP</t>
  </si>
  <si>
    <t>C - 14 Manufacture of wearing apparel</t>
  </si>
  <si>
    <t>NACE_C14</t>
  </si>
  <si>
    <t>Martinique</t>
  </si>
  <si>
    <t>country:MQ</t>
  </si>
  <si>
    <t>C - 14.1 Manufacture of knitted and crocheted apparel</t>
  </si>
  <si>
    <t>NACE_C141</t>
  </si>
  <si>
    <t>Mauritania</t>
  </si>
  <si>
    <t>country:MR</t>
  </si>
  <si>
    <t>C - 14.10 Manufacture of knitted and crocheted apparel</t>
  </si>
  <si>
    <t>NACE_C1410</t>
  </si>
  <si>
    <t>Montserrat</t>
  </si>
  <si>
    <t>country:MS</t>
  </si>
  <si>
    <t>C - 14.2 Manufacture of other wearing apparel and accessories</t>
  </si>
  <si>
    <t>NACE_C142</t>
  </si>
  <si>
    <t>Malta</t>
  </si>
  <si>
    <t>country:MT</t>
  </si>
  <si>
    <t>C - 14.21 Manufacture of outerwear</t>
  </si>
  <si>
    <t>NACE_C1421</t>
  </si>
  <si>
    <t>Mauritius</t>
  </si>
  <si>
    <t>country:MU</t>
  </si>
  <si>
    <t>C - 14.22 Manufacture of underwear</t>
  </si>
  <si>
    <t>NACE_C1422</t>
  </si>
  <si>
    <t>Maldives</t>
  </si>
  <si>
    <t>country:MV</t>
  </si>
  <si>
    <t>C - 14.23 Manufacture of workwear</t>
  </si>
  <si>
    <t>NACE_C1423</t>
  </si>
  <si>
    <t>Malawi</t>
  </si>
  <si>
    <t>country:MW</t>
  </si>
  <si>
    <t>C - 14.24 Manufacture of leather clothes and fur apparel</t>
  </si>
  <si>
    <t>NACE_C1424</t>
  </si>
  <si>
    <t>Mexico</t>
  </si>
  <si>
    <t>country:MX</t>
  </si>
  <si>
    <t>C - 14.29 Manufacture of other wearing apparel and accessories n.e.c.</t>
  </si>
  <si>
    <t>NACE_C1429</t>
  </si>
  <si>
    <t>Malaysia</t>
  </si>
  <si>
    <t>country:MY</t>
  </si>
  <si>
    <t>C - 15 Manufacture of leather and related products of other materials</t>
  </si>
  <si>
    <t>NACE_C15</t>
  </si>
  <si>
    <t>Mozambique</t>
  </si>
  <si>
    <t>country:MZ</t>
  </si>
  <si>
    <t>C - 15.1 Tanning, dyeing, dressing of leather and fur; manufacture of luggage, handbags, saddlery and harness</t>
  </si>
  <si>
    <t>NACE_C151</t>
  </si>
  <si>
    <t>Namibia</t>
  </si>
  <si>
    <t>country:NA</t>
  </si>
  <si>
    <t>C - 15.11 Tanning, dressing, dyeing of leather and fur</t>
  </si>
  <si>
    <t>NACE_C1511</t>
  </si>
  <si>
    <t>New Caledonia</t>
  </si>
  <si>
    <t>country:NC</t>
  </si>
  <si>
    <t>C - 15.12 Manufacture of luggage, handbags, saddlery and harness of any material</t>
  </si>
  <si>
    <t>NACE_C1512</t>
  </si>
  <si>
    <t>Niger</t>
  </si>
  <si>
    <t>country:NE</t>
  </si>
  <si>
    <t>C - 15.2 Manufacture of footwear</t>
  </si>
  <si>
    <t>NACE_C152</t>
  </si>
  <si>
    <t>Norfolk Island</t>
  </si>
  <si>
    <t>country:NF</t>
  </si>
  <si>
    <t>C - 15.20 Manufacture of footwear</t>
  </si>
  <si>
    <t>NACE_C1520</t>
  </si>
  <si>
    <t>Nigeria</t>
  </si>
  <si>
    <t>country:NG</t>
  </si>
  <si>
    <t>C - 16 Manufacture of wood and of products of wood and cork, except furniture; manufacture of articles of straw and plaiting materials</t>
  </si>
  <si>
    <t>NACE_C16</t>
  </si>
  <si>
    <t>Nicaragua</t>
  </si>
  <si>
    <t>country:NI</t>
  </si>
  <si>
    <t>C - 16.1 Sawmilling and planing of wood; processing and finishing of wood</t>
  </si>
  <si>
    <t>NACE_C161</t>
  </si>
  <si>
    <t>Netherlands (Kingdom of the)</t>
  </si>
  <si>
    <t>country:NL</t>
  </si>
  <si>
    <t>C - 16.11 Sawmilling and planing of wood</t>
  </si>
  <si>
    <t>NACE_C1611</t>
  </si>
  <si>
    <t>Norway</t>
  </si>
  <si>
    <t>country:NO</t>
  </si>
  <si>
    <t>C - 16.12 Processing and finishing of wood</t>
  </si>
  <si>
    <t>NACE_C1612</t>
  </si>
  <si>
    <t>Nepal</t>
  </si>
  <si>
    <t>country:NP</t>
  </si>
  <si>
    <t>C - 16.2 Manufacture of products of wood, cork, straw and plaiting materials</t>
  </si>
  <si>
    <t>NACE_C162</t>
  </si>
  <si>
    <t>Nauru</t>
  </si>
  <si>
    <t>country:NR</t>
  </si>
  <si>
    <t>C - 16.21 Manufacture of veneer sheets and wood-based panels</t>
  </si>
  <si>
    <t>NACE_C1621</t>
  </si>
  <si>
    <t>Neutral Zone (before 1993-07-12)</t>
  </si>
  <si>
    <t>country:NT</t>
  </si>
  <si>
    <t>C - 16.22 Manufacture of assembled parquet floors</t>
  </si>
  <si>
    <t>NACE_C1622</t>
  </si>
  <si>
    <t>Niue</t>
  </si>
  <si>
    <t>country:NU</t>
  </si>
  <si>
    <t>C - 16.23 Manufacture of other builders’ carpentry and joinery</t>
  </si>
  <si>
    <t>NACE_C1623</t>
  </si>
  <si>
    <t>New Zealand</t>
  </si>
  <si>
    <t>country:NZ</t>
  </si>
  <si>
    <t>C - 16.24 Manufacture of wooden containers</t>
  </si>
  <si>
    <t>NACE_C1624</t>
  </si>
  <si>
    <t>Oman</t>
  </si>
  <si>
    <t>country:OM</t>
  </si>
  <si>
    <t>C - 16.25 Manufacture of doors and windows of wood</t>
  </si>
  <si>
    <t>NACE_C1625</t>
  </si>
  <si>
    <t>Panama</t>
  </si>
  <si>
    <t>country:PA</t>
  </si>
  <si>
    <t>C - 16.26 Manufacture of solid fuels from vegetable biomass</t>
  </si>
  <si>
    <t>NACE_C1626</t>
  </si>
  <si>
    <t>Peru</t>
  </si>
  <si>
    <t>country:PE</t>
  </si>
  <si>
    <t>C - 16.27 Finishing of wooden products</t>
  </si>
  <si>
    <t>NACE_C1627</t>
  </si>
  <si>
    <t>French Polynesia</t>
  </si>
  <si>
    <t>country:PF</t>
  </si>
  <si>
    <t>C - 16.28 Manufacture of other products of wood and articles of cork, straw and plaiting materials</t>
  </si>
  <si>
    <t>NACE_C1628</t>
  </si>
  <si>
    <t>Papua New Guinea</t>
  </si>
  <si>
    <t>country:PG</t>
  </si>
  <si>
    <t>C - 17 Manufacture of paper and paper products</t>
  </si>
  <si>
    <t>NACE_C17</t>
  </si>
  <si>
    <t>Philippines</t>
  </si>
  <si>
    <t>country:PH</t>
  </si>
  <si>
    <t>C - 17.1 Manufacture of pulp, paper and paperboard</t>
  </si>
  <si>
    <t>NACE_C171</t>
  </si>
  <si>
    <t>Pakistan</t>
  </si>
  <si>
    <t>country:PK</t>
  </si>
  <si>
    <t>C - 17.11 Manufacture of pulp</t>
  </si>
  <si>
    <t>NACE_C1711</t>
  </si>
  <si>
    <t>Poland</t>
  </si>
  <si>
    <t>country:PL</t>
  </si>
  <si>
    <t>C - 17.12 Manufacture of paper and paperboard</t>
  </si>
  <si>
    <t>NACE_C1712</t>
  </si>
  <si>
    <t>Saint Pierre and Miquelon</t>
  </si>
  <si>
    <t>country:PM</t>
  </si>
  <si>
    <t>C - 17.2 Manufacture of articles of paper and paperboard</t>
  </si>
  <si>
    <t>NACE_C172</t>
  </si>
  <si>
    <t>Pitcairn</t>
  </si>
  <si>
    <t>country:PN</t>
  </si>
  <si>
    <t>C - 17.21 Manufacture of corrugated paper, paperboard and containers of paper and paperboard</t>
  </si>
  <si>
    <t>NACE_C1721</t>
  </si>
  <si>
    <t>Puerto Rico</t>
  </si>
  <si>
    <t>country:PR</t>
  </si>
  <si>
    <t>C - 17.22 Manufacture of household and sanitary goods and of toilet requisites</t>
  </si>
  <si>
    <t>NACE_C1722</t>
  </si>
  <si>
    <t>Palestine, State of</t>
  </si>
  <si>
    <t>country:PS</t>
  </si>
  <si>
    <t>C - 17.23 Manufacture of paper stationery</t>
  </si>
  <si>
    <t>NACE_C1723</t>
  </si>
  <si>
    <t>Portugal</t>
  </si>
  <si>
    <t>country:PT</t>
  </si>
  <si>
    <t>C - 17.24 Manufacture of wallpaper</t>
  </si>
  <si>
    <t>NACE_C1724</t>
  </si>
  <si>
    <t>Palau</t>
  </si>
  <si>
    <t>country:PW</t>
  </si>
  <si>
    <t>C - 17.25 Manufacture of other articles of paper and paperboard</t>
  </si>
  <si>
    <t>NACE_C1725</t>
  </si>
  <si>
    <t>Paraguay</t>
  </si>
  <si>
    <t>country:PY</t>
  </si>
  <si>
    <t>C - 18 Printing and reproduction of recorded media</t>
  </si>
  <si>
    <t>NACE_C18</t>
  </si>
  <si>
    <t>Qatar</t>
  </si>
  <si>
    <t>country:QA</t>
  </si>
  <si>
    <t>C - 18.1 Printing and service activities related to printing</t>
  </si>
  <si>
    <t>NACE_C181</t>
  </si>
  <si>
    <t>Réunion</t>
  </si>
  <si>
    <t>country:RE</t>
  </si>
  <si>
    <t>C - 18.11 Printing of newspapers</t>
  </si>
  <si>
    <t>NACE_C1811</t>
  </si>
  <si>
    <t>Romania</t>
  </si>
  <si>
    <t>country:RO</t>
  </si>
  <si>
    <t>C - 18.12 Other printing</t>
  </si>
  <si>
    <t>NACE_C1812</t>
  </si>
  <si>
    <t>Serbia</t>
  </si>
  <si>
    <t>country:RS</t>
  </si>
  <si>
    <t>C - 18.13 Pre-press and pre-media services</t>
  </si>
  <si>
    <t>NACE_C1813</t>
  </si>
  <si>
    <t>Russian Federation</t>
  </si>
  <si>
    <t>country:RU</t>
  </si>
  <si>
    <t>C - 18.14 Binding and related services</t>
  </si>
  <si>
    <t>NACE_C1814</t>
  </si>
  <si>
    <t>Rwanda</t>
  </si>
  <si>
    <t>country:RW</t>
  </si>
  <si>
    <t>C - 18.2 Reproduction of recorded media</t>
  </si>
  <si>
    <t>NACE_C182</t>
  </si>
  <si>
    <t>Saudi Arabia</t>
  </si>
  <si>
    <t>country:SA</t>
  </si>
  <si>
    <t>C - 18.20 Reproduction of recorded media</t>
  </si>
  <si>
    <t>NACE_C1820</t>
  </si>
  <si>
    <t>Solomon Islands</t>
  </si>
  <si>
    <t>country:SB</t>
  </si>
  <si>
    <t>C - 19 Manufacture of coke and refined petroleum products</t>
  </si>
  <si>
    <t>NACE_C19</t>
  </si>
  <si>
    <t>Seychelles</t>
  </si>
  <si>
    <t>country:SC</t>
  </si>
  <si>
    <t>C - 19.1 Manufacture of coke oven products</t>
  </si>
  <si>
    <t>NACE_C191</t>
  </si>
  <si>
    <t>Sudan</t>
  </si>
  <si>
    <t>country:SD</t>
  </si>
  <si>
    <t>C - 19.10 Manufacture of coke oven products</t>
  </si>
  <si>
    <t>NACE_C1910</t>
  </si>
  <si>
    <t>Sweden</t>
  </si>
  <si>
    <t>country:SE</t>
  </si>
  <si>
    <t>C - 19.2 Manufacture of refined petroleum products and fossil fuel products</t>
  </si>
  <si>
    <t>NACE_C192</t>
  </si>
  <si>
    <t>Singapore</t>
  </si>
  <si>
    <t>country:SG</t>
  </si>
  <si>
    <t>C - 19.20 Manufacture of refined petroleum products and fossil fuel products</t>
  </si>
  <si>
    <t>NACE_C1920</t>
  </si>
  <si>
    <t>Saint Helena, Ascension and Tristan da Cunha</t>
  </si>
  <si>
    <t>country:SH</t>
  </si>
  <si>
    <t>C - 20 Manufacture of chemicals and chemical products</t>
  </si>
  <si>
    <t>NACE_C20</t>
  </si>
  <si>
    <t>Slovenia</t>
  </si>
  <si>
    <t>country:SI</t>
  </si>
  <si>
    <t>C - 20.1 Manufacture of basic chemicals, fertilisers and nitrogen compounds, plastics and synthetic rubber in primary forms</t>
  </si>
  <si>
    <t>NACE_C201</t>
  </si>
  <si>
    <t>Svalbard and Jan Mayen</t>
  </si>
  <si>
    <t>country:SJ</t>
  </si>
  <si>
    <t>C - 20.11 Manufacture of industrial gases</t>
  </si>
  <si>
    <t>NACE_C2011</t>
  </si>
  <si>
    <t>Slovakia</t>
  </si>
  <si>
    <t>country:SK</t>
  </si>
  <si>
    <t>C - 20.12 Manufacture of dyes and pigments</t>
  </si>
  <si>
    <t>NACE_C2012</t>
  </si>
  <si>
    <t>Sierra Leone</t>
  </si>
  <si>
    <t>country:SL</t>
  </si>
  <si>
    <t>C - 20.13 Manufacture of other inorganic basic chemicals</t>
  </si>
  <si>
    <t>NACE_C2013</t>
  </si>
  <si>
    <t>San Marino</t>
  </si>
  <si>
    <t>country:SM</t>
  </si>
  <si>
    <t>C - 20.14 Manufacture of other organic basic chemicals</t>
  </si>
  <si>
    <t>NACE_C2014</t>
  </si>
  <si>
    <t>Senegal</t>
  </si>
  <si>
    <t>country:SN</t>
  </si>
  <si>
    <t>C - 20.15 Manufacture of fertilisers and nitrogen compounds</t>
  </si>
  <si>
    <t>NACE_C2015</t>
  </si>
  <si>
    <t>Somalia</t>
  </si>
  <si>
    <t>country:SO</t>
  </si>
  <si>
    <t>C - 20.16 Manufacture of plastics in primary forms</t>
  </si>
  <si>
    <t>NACE_C2016</t>
  </si>
  <si>
    <t>Suriname</t>
  </si>
  <si>
    <t>country:SR</t>
  </si>
  <si>
    <t>C - 20.17 Manufacture of synthetic rubber in primary forms</t>
  </si>
  <si>
    <t>NACE_C2017</t>
  </si>
  <si>
    <t>South Sudan</t>
  </si>
  <si>
    <t>country:SS</t>
  </si>
  <si>
    <t>C - 20.2 Manufacture of pesticides, disinfectants and other agrochemical products</t>
  </si>
  <si>
    <t>NACE_C202</t>
  </si>
  <si>
    <t>Sao Tome and Principe</t>
  </si>
  <si>
    <t>country:ST</t>
  </si>
  <si>
    <t>C - 20.20 Manufacture of pesticides, disinfectants and other agrochemical products</t>
  </si>
  <si>
    <t>NACE_C2020</t>
  </si>
  <si>
    <t>El Salvador</t>
  </si>
  <si>
    <t>country:SV</t>
  </si>
  <si>
    <t>C - 20.3 Manufacture of paints, varnishes and similar coatings, printing ink and mastics</t>
  </si>
  <si>
    <t>NACE_C203</t>
  </si>
  <si>
    <t>Sint Maarten (Dutch part)</t>
  </si>
  <si>
    <t>country:SX</t>
  </si>
  <si>
    <t>C - 20.30 Manufacture of paints, varnishes and similar coatings, printing ink and mastics</t>
  </si>
  <si>
    <t>NACE_C2030</t>
  </si>
  <si>
    <t>Syrian Arab Republic</t>
  </si>
  <si>
    <t>country:SY</t>
  </si>
  <si>
    <t>C - 20.4 Manufacture of washing, cleaning and polishing preparations</t>
  </si>
  <si>
    <t>NACE_C204</t>
  </si>
  <si>
    <t>Eswatini</t>
  </si>
  <si>
    <t>country:SZ</t>
  </si>
  <si>
    <t>C - 20.41 Manufacture of soap and detergents, cleaning and polishing preparations</t>
  </si>
  <si>
    <t>NACE_C2041</t>
  </si>
  <si>
    <t>Turks and Caicos Islands</t>
  </si>
  <si>
    <t>country:TC</t>
  </si>
  <si>
    <t>C - 20.42 Manufacture of perfume and toilet preparations</t>
  </si>
  <si>
    <t>NACE_C2042</t>
  </si>
  <si>
    <t>Chad</t>
  </si>
  <si>
    <t>country:TD</t>
  </si>
  <si>
    <t>C - 20.5 Manufacture of other chemical products</t>
  </si>
  <si>
    <t>NACE_C205</t>
  </si>
  <si>
    <t>French Southern Territories</t>
  </si>
  <si>
    <t>country:TF</t>
  </si>
  <si>
    <t>C - 20.51 Manufacture of liquid biofuels</t>
  </si>
  <si>
    <t>NACE_C2051</t>
  </si>
  <si>
    <t>Togo</t>
  </si>
  <si>
    <t>country:TG</t>
  </si>
  <si>
    <t>C - 20.59 Manufacture of other chemical products n.e.c.</t>
  </si>
  <si>
    <t>NACE_C2059</t>
  </si>
  <si>
    <t>Thailand</t>
  </si>
  <si>
    <t>country:TH</t>
  </si>
  <si>
    <t>C - 20.6 Manufacture of man-made fibres</t>
  </si>
  <si>
    <t>NACE_C206</t>
  </si>
  <si>
    <t>Tajikistan</t>
  </si>
  <si>
    <t>country:TJ</t>
  </si>
  <si>
    <t>C - 20.60 Manufacture of man-made fibres</t>
  </si>
  <si>
    <t>NACE_C2060</t>
  </si>
  <si>
    <t>Tokelau</t>
  </si>
  <si>
    <t>country:TK</t>
  </si>
  <si>
    <t>C - 21 Manufacture of basic pharmaceutical products and pharmaceutical preparations</t>
  </si>
  <si>
    <t>NACE_C21</t>
  </si>
  <si>
    <t>Timor-Leste</t>
  </si>
  <si>
    <t>country:TL</t>
  </si>
  <si>
    <t>C - 21.1 Manufacture of basic pharmaceutical products</t>
  </si>
  <si>
    <t>NACE_C211</t>
  </si>
  <si>
    <t>Turkmenistan</t>
  </si>
  <si>
    <t>country:TM</t>
  </si>
  <si>
    <t>C - 21.10 Manufacture of basic pharmaceutical products</t>
  </si>
  <si>
    <t>NACE_C2110</t>
  </si>
  <si>
    <t>Tunisia</t>
  </si>
  <si>
    <t>country:TN</t>
  </si>
  <si>
    <t>C - 21.2 Manufacture of pharmaceutical preparations</t>
  </si>
  <si>
    <t>NACE_C212</t>
  </si>
  <si>
    <t>Tonga</t>
  </si>
  <si>
    <t>country:TO</t>
  </si>
  <si>
    <t>C - 21.20 Manufacture of pharmaceutical preparations</t>
  </si>
  <si>
    <t>NACE_C2120</t>
  </si>
  <si>
    <t>East Timor (before 2002-05-20)</t>
  </si>
  <si>
    <t>country:TP</t>
  </si>
  <si>
    <t>C - 22 Manufacture of rubber and plastic products</t>
  </si>
  <si>
    <t>NACE_C22</t>
  </si>
  <si>
    <t>Türkiye</t>
  </si>
  <si>
    <t>country:TR</t>
  </si>
  <si>
    <t>C - 22.1 Manufacture of rubber products</t>
  </si>
  <si>
    <t>NACE_C221</t>
  </si>
  <si>
    <t>Trinidad and Tobago</t>
  </si>
  <si>
    <t>country:TT</t>
  </si>
  <si>
    <t>C - 22.11 Manufacture, retreading and rebuilding of rubber tyres and manufacture of tubes</t>
  </si>
  <si>
    <t>NACE_C2211</t>
  </si>
  <si>
    <t>Tuvalu</t>
  </si>
  <si>
    <t>country:TV</t>
  </si>
  <si>
    <t>C - 22.12 Manufacture of other rubber products</t>
  </si>
  <si>
    <t>NACE_C2212</t>
  </si>
  <si>
    <t>Taiwan (Province of China)</t>
  </si>
  <si>
    <t>country:TW</t>
  </si>
  <si>
    <t>C - 22.2 Manufacture of plastic products</t>
  </si>
  <si>
    <t>NACE_C222</t>
  </si>
  <si>
    <t>Tanzania, the United Republic of</t>
  </si>
  <si>
    <t>country:TZ</t>
  </si>
  <si>
    <t>C - 22.21 Manufacture of plastic plates, sheets, tubes and profiles</t>
  </si>
  <si>
    <t>NACE_C2221</t>
  </si>
  <si>
    <t>Ukraine</t>
  </si>
  <si>
    <t>country:UA</t>
  </si>
  <si>
    <t>C - 22.22 Manufacture of plastic packing goods</t>
  </si>
  <si>
    <t>NACE_C2222</t>
  </si>
  <si>
    <t>Uganda</t>
  </si>
  <si>
    <t>country:UG</t>
  </si>
  <si>
    <t>C - 22.23 Manufacture of doors and windows of plastic</t>
  </si>
  <si>
    <t>NACE_C2223</t>
  </si>
  <si>
    <t>United States Minor Outlying Islands</t>
  </si>
  <si>
    <t>country:UM</t>
  </si>
  <si>
    <t>C - 22.24 Manufacture of builders’ ware of plastic</t>
  </si>
  <si>
    <t>NACE_C2224</t>
  </si>
  <si>
    <t>United States of America</t>
  </si>
  <si>
    <t>country:US</t>
  </si>
  <si>
    <t>C - 22.25 Processing and finishing of plastic products</t>
  </si>
  <si>
    <t>NACE_C2225</t>
  </si>
  <si>
    <t>Uruguay</t>
  </si>
  <si>
    <t>country:UY</t>
  </si>
  <si>
    <t>C - 22.26 Manufacture of other plastic products</t>
  </si>
  <si>
    <t>NACE_C2226</t>
  </si>
  <si>
    <t>Uzbekistan</t>
  </si>
  <si>
    <t>country:UZ</t>
  </si>
  <si>
    <t>C - 23 Manufacture of other non-metallic mineral products</t>
  </si>
  <si>
    <t>NACE_C23</t>
  </si>
  <si>
    <t>Holy See</t>
  </si>
  <si>
    <t>country:VA</t>
  </si>
  <si>
    <t>C - 23.1 Manufacture of glass and glass products</t>
  </si>
  <si>
    <t>NACE_C231</t>
  </si>
  <si>
    <t>Saint Vincent and the Grenadines</t>
  </si>
  <si>
    <t>country:VC</t>
  </si>
  <si>
    <t>C - 23.11 Manufacture of flat glass</t>
  </si>
  <si>
    <t>NACE_C2311</t>
  </si>
  <si>
    <t>Venezuela (Bolivarian Republic of)</t>
  </si>
  <si>
    <t>country:VE</t>
  </si>
  <si>
    <t>C - 23.12 Shaping and processing of flat glass</t>
  </si>
  <si>
    <t>NACE_C2312</t>
  </si>
  <si>
    <t>Virgin Islands (British)</t>
  </si>
  <si>
    <t>country:VG</t>
  </si>
  <si>
    <t>C - 23.13 Manufacture of hollow glass</t>
  </si>
  <si>
    <t>NACE_C2313</t>
  </si>
  <si>
    <t>Virgin Islands (U.S.)</t>
  </si>
  <si>
    <t>country:VI</t>
  </si>
  <si>
    <t>C - 23.14 Manufacture of glass fibres</t>
  </si>
  <si>
    <t>NACE_C2314</t>
  </si>
  <si>
    <t>Viet Nam</t>
  </si>
  <si>
    <t>country:VN</t>
  </si>
  <si>
    <t>C - 23.15 Manufacture and processing of other glass, including technical glassware</t>
  </si>
  <si>
    <t>NACE_C2315</t>
  </si>
  <si>
    <t>Vanuatu</t>
  </si>
  <si>
    <t>country:VU</t>
  </si>
  <si>
    <t>C - 23.2 Manufacture of refractory products</t>
  </si>
  <si>
    <t>NACE_C232</t>
  </si>
  <si>
    <t>Wallis and Futuna</t>
  </si>
  <si>
    <t>country:WF</t>
  </si>
  <si>
    <t>C - 23.20 Manufacture of refractory products</t>
  </si>
  <si>
    <t>NACE_C2320</t>
  </si>
  <si>
    <t>Samoa</t>
  </si>
  <si>
    <t>country:WS</t>
  </si>
  <si>
    <t>C - 23.3 Manufacture of clay building materials</t>
  </si>
  <si>
    <t>NACE_C233</t>
  </si>
  <si>
    <t>Yemen</t>
  </si>
  <si>
    <t>country:YE</t>
  </si>
  <si>
    <t>C - 23.31 Manufacture of ceramic tiles and flags</t>
  </si>
  <si>
    <t>NACE_C2331</t>
  </si>
  <si>
    <t>Mayotte</t>
  </si>
  <si>
    <t>country:YT</t>
  </si>
  <si>
    <t>C - 23.32 Manufacture of bricks, tiles and construction products, in baked clay</t>
  </si>
  <si>
    <t>NACE_C2332</t>
  </si>
  <si>
    <t>Yugoslavia (before 2003-07-23)</t>
  </si>
  <si>
    <t>country:YU</t>
  </si>
  <si>
    <t>C - 23.4 Manufacture of other porcelain and ceramic products</t>
  </si>
  <si>
    <t>NACE_C234</t>
  </si>
  <si>
    <t>South Africa</t>
  </si>
  <si>
    <t>country:ZA</t>
  </si>
  <si>
    <t>C - 23.41 Manufacture of ceramic household and ornamental articles</t>
  </si>
  <si>
    <t>NACE_C2341</t>
  </si>
  <si>
    <t>Zambia</t>
  </si>
  <si>
    <t>country:ZM</t>
  </si>
  <si>
    <t>C - 23.42 Manufacture of ceramic sanitary fixtures</t>
  </si>
  <si>
    <t>NACE_C2342</t>
  </si>
  <si>
    <t>Zaire (before 1997-07-14)</t>
  </si>
  <si>
    <t>country:ZR</t>
  </si>
  <si>
    <t>C - 23.43 Manufacture of ceramic insulators and insulating fittings</t>
  </si>
  <si>
    <t>NACE_C2343</t>
  </si>
  <si>
    <t>Zimbabwe</t>
  </si>
  <si>
    <t>country:ZW</t>
  </si>
  <si>
    <t>C - 23.44 Manufacture of other technical ceramic products</t>
  </si>
  <si>
    <t>NACE_C2344</t>
  </si>
  <si>
    <t>C - 23.45 Manufacture of other ceramic products</t>
  </si>
  <si>
    <t>NACE_C2345</t>
  </si>
  <si>
    <t>C - 23.5 Manufacture of cement, lime and plaster</t>
  </si>
  <si>
    <t>NACE_C235</t>
  </si>
  <si>
    <t>C - 23.51 Manufacture of cement</t>
  </si>
  <si>
    <t>NACE_C2351</t>
  </si>
  <si>
    <t>C - 23.52 Manufacture of lime and plaster</t>
  </si>
  <si>
    <t>NACE_C2352</t>
  </si>
  <si>
    <t>C - 23.6 Manufacture of articles of concrete, cement and plaster</t>
  </si>
  <si>
    <t>NACE_C236</t>
  </si>
  <si>
    <t>C - 23.61 Manufacture of concrete products for construction purposes</t>
  </si>
  <si>
    <t>NACE_C2361</t>
  </si>
  <si>
    <t>C - 23.62 Manufacture of plaster products for construction purposes</t>
  </si>
  <si>
    <t>NACE_C2362</t>
  </si>
  <si>
    <t>C - 23.63 Manufacture of ready-mixed concrete</t>
  </si>
  <si>
    <t>NACE_C2363</t>
  </si>
  <si>
    <t>C - 23.64 Manufacture of mortars</t>
  </si>
  <si>
    <t>NACE_C2364</t>
  </si>
  <si>
    <t>C - 23.65 Manufacture of fibre cement</t>
  </si>
  <si>
    <t>NACE_C2365</t>
  </si>
  <si>
    <t>C - 23.66 Manufacture of other articles of concrete, cement and plaster</t>
  </si>
  <si>
    <t>NACE_C2366</t>
  </si>
  <si>
    <t>C - 23.7 Cutting, shaping and finishing of stone</t>
  </si>
  <si>
    <t>NACE_C237</t>
  </si>
  <si>
    <t>C - 23.70 Cutting, shaping and finishing of stone</t>
  </si>
  <si>
    <t>NACE_C2370</t>
  </si>
  <si>
    <t>C - 23.9 Manufacture of abrasive products and non-metallic mineral products n.e.c.</t>
  </si>
  <si>
    <t>NACE_C239</t>
  </si>
  <si>
    <t>C - 23.91 Manufacture of abrasive products</t>
  </si>
  <si>
    <t>NACE_C2391</t>
  </si>
  <si>
    <t>C - 23.99 Manufacture of other non-metallic mineral products n.e.c.</t>
  </si>
  <si>
    <t>NACE_C2399</t>
  </si>
  <si>
    <t>C - 24 Manufacture of basic metals</t>
  </si>
  <si>
    <t>NACE_C24</t>
  </si>
  <si>
    <t>C - 24.1 Manufacture of basic iron and steel and of ferro-alloys</t>
  </si>
  <si>
    <t>NACE_C241</t>
  </si>
  <si>
    <t>C - 24.10 Manufacture of basic iron and steel and of ferro-alloys</t>
  </si>
  <si>
    <t>NACE_C2410</t>
  </si>
  <si>
    <t>C - 24.2 Manufacture of tubes, pipes, hollow profiles and related fittings, of steel</t>
  </si>
  <si>
    <t>NACE_C242</t>
  </si>
  <si>
    <t>C - 24.20 Manufacture of tubes, pipes, hollow profiles and related fittings, of steel</t>
  </si>
  <si>
    <t>NACE_C2420</t>
  </si>
  <si>
    <t>C - 24.3 Manufacture of other products of first processing of steel</t>
  </si>
  <si>
    <t>NACE_C243</t>
  </si>
  <si>
    <t>C - 24.31 Cold drawing of bars</t>
  </si>
  <si>
    <t>NACE_C2431</t>
  </si>
  <si>
    <t>C - 24.32 Cold rolling of narrow strip</t>
  </si>
  <si>
    <t>NACE_C2432</t>
  </si>
  <si>
    <t>C - 24.33 Cold forming or folding</t>
  </si>
  <si>
    <t>NACE_C2433</t>
  </si>
  <si>
    <t>C - 24.34 Cold drawing of wire</t>
  </si>
  <si>
    <t>NACE_C2434</t>
  </si>
  <si>
    <t>C - 24.4 Manufacture of basic precious and other non-ferrous metals</t>
  </si>
  <si>
    <t>NACE_C244</t>
  </si>
  <si>
    <t>C - 24.41 Precious metals production</t>
  </si>
  <si>
    <t>NACE_C2441</t>
  </si>
  <si>
    <t>C - 24.42 Aluminium production</t>
  </si>
  <si>
    <t>NACE_C2442</t>
  </si>
  <si>
    <t>C - 24.43 Lead, zinc and tin production</t>
  </si>
  <si>
    <t>NACE_C2443</t>
  </si>
  <si>
    <t>C - 24.44 Copper production</t>
  </si>
  <si>
    <t>NACE_C2444</t>
  </si>
  <si>
    <t>C - 24.45 Other non-ferrous metal production</t>
  </si>
  <si>
    <t>NACE_C2445</t>
  </si>
  <si>
    <t>C - 24.46 Processing of nuclear fuel</t>
  </si>
  <si>
    <t>NACE_C2446</t>
  </si>
  <si>
    <t>C - 24.5 Casting of metals</t>
  </si>
  <si>
    <t>NACE_C245</t>
  </si>
  <si>
    <t>C - 24.51 Casting of iron</t>
  </si>
  <si>
    <t>NACE_C2451</t>
  </si>
  <si>
    <t>C - 24.52 Casting of steel</t>
  </si>
  <si>
    <t>NACE_C2452</t>
  </si>
  <si>
    <t>C - 24.53 Casting of light metals</t>
  </si>
  <si>
    <t>NACE_C2453</t>
  </si>
  <si>
    <t>C - 24.54 Casting of other non-ferrous metals</t>
  </si>
  <si>
    <t>NACE_C2454</t>
  </si>
  <si>
    <t>C - 25 Manufacture of fabricated metal products, except machinery and equipment</t>
  </si>
  <si>
    <t>NACE_C25</t>
  </si>
  <si>
    <t>C - 25.1 Manufacture of structural metal products</t>
  </si>
  <si>
    <t>NACE_C251</t>
  </si>
  <si>
    <t>C - 25.11 Manufacture of metal structures and parts of structures</t>
  </si>
  <si>
    <t>NACE_C2511</t>
  </si>
  <si>
    <t>C - 25.12 Manufacture of doors and windows of metal</t>
  </si>
  <si>
    <t>NACE_C2512</t>
  </si>
  <si>
    <t>C - 25.2 Manufacture of tanks, reservoirs and containers of metal</t>
  </si>
  <si>
    <t>NACE_C252</t>
  </si>
  <si>
    <t>C - 25.21 Manufacture of central heating radiators, steam generators and boilers</t>
  </si>
  <si>
    <t>NACE_C2521</t>
  </si>
  <si>
    <t>C - 25.22 Manufacture of other tanks, reservoirs and containers of metal</t>
  </si>
  <si>
    <t>NACE_C2522</t>
  </si>
  <si>
    <t>C - 25.3 Manufacture of weapons and ammunition</t>
  </si>
  <si>
    <t>NACE_C253</t>
  </si>
  <si>
    <t>C - 25.30 Manufacture of weapons and ammunition</t>
  </si>
  <si>
    <t>NACE_C2530</t>
  </si>
  <si>
    <t>C - 25.4 Forging and shaping metal and powder metallurgy</t>
  </si>
  <si>
    <t>NACE_C254</t>
  </si>
  <si>
    <t>C - 25.40 Forging and shaping metal and powder metallurgy</t>
  </si>
  <si>
    <t>NACE_C2540</t>
  </si>
  <si>
    <t>C - 25.5 Treatment and coating of metals; machining</t>
  </si>
  <si>
    <t>NACE_C255</t>
  </si>
  <si>
    <t>C - 25.51 Coating of metals</t>
  </si>
  <si>
    <t>NACE_C2551</t>
  </si>
  <si>
    <t>C - 25.52 Heat treatment of metals</t>
  </si>
  <si>
    <t>NACE_C2552</t>
  </si>
  <si>
    <t>C - 25.53 Machining of metals</t>
  </si>
  <si>
    <t>NACE_C2553</t>
  </si>
  <si>
    <t>C - 25.6 Manufacture of cutlery, tools and general hardware</t>
  </si>
  <si>
    <t>NACE_C256</t>
  </si>
  <si>
    <t>C - 25.61 Manufacture of cutlery</t>
  </si>
  <si>
    <t>NACE_C2561</t>
  </si>
  <si>
    <t>C - 25.62 Manufacture of locks and hinges</t>
  </si>
  <si>
    <t>NACE_C2562</t>
  </si>
  <si>
    <t>C - 25.63 Manufacture of tools</t>
  </si>
  <si>
    <t>NACE_C2563</t>
  </si>
  <si>
    <t>C - 25.9 Manufacture of other fabricated metal products</t>
  </si>
  <si>
    <t>NACE_C259</t>
  </si>
  <si>
    <t>C - 25.91 Manufacture of steel drums and similar containers</t>
  </si>
  <si>
    <t>NACE_C2591</t>
  </si>
  <si>
    <t>C - 25.92 Manufacture of light metal packaging</t>
  </si>
  <si>
    <t>NACE_C2592</t>
  </si>
  <si>
    <t>C - 25.93 Manufacture of wire products, chain and springs</t>
  </si>
  <si>
    <t>NACE_C2593</t>
  </si>
  <si>
    <t>C - 25.94 Manufacture of fasteners and screw machine products</t>
  </si>
  <si>
    <t>NACE_C2594</t>
  </si>
  <si>
    <t>C - 25.99 Manufacture of other fabricated metal products n.e.c.</t>
  </si>
  <si>
    <t>NACE_C2599</t>
  </si>
  <si>
    <t>C - 26 Manufacture of computer, electronic and optical products</t>
  </si>
  <si>
    <t>NACE_C26</t>
  </si>
  <si>
    <t>C - 26.1 Manufacture of electronic components and boards</t>
  </si>
  <si>
    <t>NACE_C261</t>
  </si>
  <si>
    <t>C - 26.11 Manufacture of electronic components</t>
  </si>
  <si>
    <t>NACE_C2611</t>
  </si>
  <si>
    <t>C - 26.12 Manufacture of loaded electronic boards</t>
  </si>
  <si>
    <t>NACE_C2612</t>
  </si>
  <si>
    <t>C - 26.2 Manufacture of computers and peripheral equipment</t>
  </si>
  <si>
    <t>NACE_C262</t>
  </si>
  <si>
    <t>C - 26.20 Manufacture of computers and peripheral equipment</t>
  </si>
  <si>
    <t>NACE_C2620</t>
  </si>
  <si>
    <t>C - 26.3 Manufacture of communication equipment</t>
  </si>
  <si>
    <t>NACE_C263</t>
  </si>
  <si>
    <t>C - 26.30 Manufacture of communication equipment</t>
  </si>
  <si>
    <t>NACE_C2630</t>
  </si>
  <si>
    <t>C - 26.4 Manufacture of consumer electronics</t>
  </si>
  <si>
    <t>NACE_C264</t>
  </si>
  <si>
    <t>C - 26.40 Manufacture of consumer electronics</t>
  </si>
  <si>
    <t>NACE_C2640</t>
  </si>
  <si>
    <t>C - 26.5 Manufacture of measuring testing instruments, clocks and watches</t>
  </si>
  <si>
    <t>NACE_C265</t>
  </si>
  <si>
    <t>C - 26.51 Manufacture of instruments and appliances for measuring, testing and navigation</t>
  </si>
  <si>
    <t>NACE_C2651</t>
  </si>
  <si>
    <t>C - 26.52 Manufacture of watches and clocks</t>
  </si>
  <si>
    <t>NACE_C2652</t>
  </si>
  <si>
    <t>C - 26.6 Manufacture of irradiation, electromedical and electrotherapeutic equipment</t>
  </si>
  <si>
    <t>NACE_C266</t>
  </si>
  <si>
    <t>C - 26.60 Manufacture of irradiation, electromedical and electrotherapeutic equipment</t>
  </si>
  <si>
    <t>NACE_C2660</t>
  </si>
  <si>
    <t>C - 26.7 Manufacture of optical instruments, magnetic and optical media and photographic equipment</t>
  </si>
  <si>
    <t>NACE_C267</t>
  </si>
  <si>
    <t>C - 26.70 Manufacture of optical instruments, magnetic and optical media and photographic equipment</t>
  </si>
  <si>
    <t>NACE_C2670</t>
  </si>
  <si>
    <t>C - 27 Manufacture of electrical equipment</t>
  </si>
  <si>
    <t>NACE_C27</t>
  </si>
  <si>
    <t>C - 27.1 Manufacture of electric motors, generators, transformers and electricity distribution and control apparatus</t>
  </si>
  <si>
    <t>NACE_C271</t>
  </si>
  <si>
    <t>C - 27.11 Manufacture of electric motors, generators and transformers</t>
  </si>
  <si>
    <t>NACE_C2711</t>
  </si>
  <si>
    <t>C - 27.12 Manufacture of electricity distribution and control apparatus</t>
  </si>
  <si>
    <t>NACE_C2712</t>
  </si>
  <si>
    <t>C - 27.2 Manufacture of batteries and accumulators</t>
  </si>
  <si>
    <t>NACE_C272</t>
  </si>
  <si>
    <t>C - 27.20 Manufacture of batteries and accumulators</t>
  </si>
  <si>
    <t>NACE_C2720</t>
  </si>
  <si>
    <t>C - 27.3 Manufacture of wiring and wiring devices</t>
  </si>
  <si>
    <t>NACE_C273</t>
  </si>
  <si>
    <t>C - 27.31 Manufacture of fibre optic cables</t>
  </si>
  <si>
    <t>NACE_C2731</t>
  </si>
  <si>
    <t>C - 27.32 Manufacture of other electronic and electric wires and cables</t>
  </si>
  <si>
    <t>NACE_C2732</t>
  </si>
  <si>
    <t>C - 27.33 Manufacture of wiring devices</t>
  </si>
  <si>
    <t>NACE_C2733</t>
  </si>
  <si>
    <t>C - 27.4 Manufacture of lighting equipment</t>
  </si>
  <si>
    <t>NACE_C274</t>
  </si>
  <si>
    <t>C - 27.40 Manufacture of lighting equipment</t>
  </si>
  <si>
    <t>NACE_C2740</t>
  </si>
  <si>
    <t>C - 27.5 Manufacture of domestic appliances</t>
  </si>
  <si>
    <t>NACE_C275</t>
  </si>
  <si>
    <t>C - 27.51 Manufacture of electric domestic appliances</t>
  </si>
  <si>
    <t>NACE_C2751</t>
  </si>
  <si>
    <t>C - 27.52 Manufacture of non-electric domestic appliances</t>
  </si>
  <si>
    <t>NACE_C2752</t>
  </si>
  <si>
    <t>C - 27.9 Manufacture of other electrical equipment</t>
  </si>
  <si>
    <t>NACE_C279</t>
  </si>
  <si>
    <t>C - 27.90 Manufacture of other electrical equipment</t>
  </si>
  <si>
    <t>NACE_C2790</t>
  </si>
  <si>
    <t>C - 28 Manufacture of machinery and equipment n.e.c.</t>
  </si>
  <si>
    <t>NACE_C28</t>
  </si>
  <si>
    <t>C - 28.1 Manufacture of general-purpose machinery</t>
  </si>
  <si>
    <t>NACE_C281</t>
  </si>
  <si>
    <t>C - 28.11 Manufacture of engines and turbines, except aircraft, vehicle and cycle engines</t>
  </si>
  <si>
    <t>NACE_C2811</t>
  </si>
  <si>
    <t>C - 28.12 Manufacture of fluid power equipment</t>
  </si>
  <si>
    <t>NACE_C2812</t>
  </si>
  <si>
    <t>C - 28.13 Manufacture of other pumps and compressors</t>
  </si>
  <si>
    <t>NACE_C2813</t>
  </si>
  <si>
    <t>C - 28.14 Manufacture of other taps and valves</t>
  </si>
  <si>
    <t>NACE_C2814</t>
  </si>
  <si>
    <t>C - 28.15 Manufacture of bearings, gears, gearing and driving elements</t>
  </si>
  <si>
    <t>NACE_C2815</t>
  </si>
  <si>
    <t>C - 28.2 Manufacture of other general-purpose machinery</t>
  </si>
  <si>
    <t>NACE_C282</t>
  </si>
  <si>
    <t>C - 28.21 Manufacture of ovens, furnaces and permanent household heating equipment</t>
  </si>
  <si>
    <t>NACE_C2821</t>
  </si>
  <si>
    <t>C - 28.22 Manufacture of lifting and handling equipment</t>
  </si>
  <si>
    <t>NACE_C2822</t>
  </si>
  <si>
    <t>C - 28.23 Manufacture of office machinery and equipment, except computers and peripheral equipment</t>
  </si>
  <si>
    <t>NACE_C2823</t>
  </si>
  <si>
    <t>C - 28.24 Manufacture of power-driven hand tools</t>
  </si>
  <si>
    <t>NACE_C2824</t>
  </si>
  <si>
    <t>C - 28.25 Manufacture of non-domestic air conditioning equipment</t>
  </si>
  <si>
    <t>NACE_C2825</t>
  </si>
  <si>
    <t>C - 28.29 Manufacture of other general-purpose machinery n.e.c.</t>
  </si>
  <si>
    <t>NACE_C2829</t>
  </si>
  <si>
    <t>C - 28.3 Manufacture of agricultural and forestry machinery</t>
  </si>
  <si>
    <t>NACE_C283</t>
  </si>
  <si>
    <t>C - 28.30 Manufacture of agricultural and forestry machinery</t>
  </si>
  <si>
    <t>NACE_C2830</t>
  </si>
  <si>
    <t>C - 28.4 Manufacture of metal forming machinery and machine tools</t>
  </si>
  <si>
    <t>NACE_C284</t>
  </si>
  <si>
    <t>C - 28.41 Manufacture of metal forming machinery and machine tools for metal work</t>
  </si>
  <si>
    <t>NACE_C2841</t>
  </si>
  <si>
    <t>C - 28.42 Manufacture of other machine tools</t>
  </si>
  <si>
    <t>NACE_C2842</t>
  </si>
  <si>
    <t>C - 28.9 Manufacture of other special-purpose machinery</t>
  </si>
  <si>
    <t>NACE_C289</t>
  </si>
  <si>
    <t>C - 28.91 Manufacture of machinery for metallurgy</t>
  </si>
  <si>
    <t>NACE_C2891</t>
  </si>
  <si>
    <t>C - 28.92 Manufacture of machinery for mining, quarrying and construction</t>
  </si>
  <si>
    <t>NACE_C2892</t>
  </si>
  <si>
    <t>C - 28.93 Manufacture of machinery for food, beverage and tobacco processing</t>
  </si>
  <si>
    <t>NACE_C2893</t>
  </si>
  <si>
    <t>C - 28.94 Manufacture of machinery for textile, apparel and leather production</t>
  </si>
  <si>
    <t>NACE_C2894</t>
  </si>
  <si>
    <t>C - 28.95 Manufacture of machinery for paper and paperboard production</t>
  </si>
  <si>
    <t>NACE_C2895</t>
  </si>
  <si>
    <t>C - 28.96 Manufacture of plastics and rubber machinery</t>
  </si>
  <si>
    <t>NACE_C2896</t>
  </si>
  <si>
    <t>C - 28.97 Manufacture of additive manufacturing machinery</t>
  </si>
  <si>
    <t>NACE_C2897</t>
  </si>
  <si>
    <t>C - 28.99 Manufacture of other special-purpose machinery n.e.c.</t>
  </si>
  <si>
    <t>NACE_C2899</t>
  </si>
  <si>
    <t>C - 29 Manufacture of motor vehicles, trailers and semi-trailers</t>
  </si>
  <si>
    <t>NACE_C29</t>
  </si>
  <si>
    <t>C - 29.1 Manufacture of motor vehicles</t>
  </si>
  <si>
    <t>NACE_C291</t>
  </si>
  <si>
    <t>C - 29.10 Manufacture of motor vehicles</t>
  </si>
  <si>
    <t>NACE_C2910</t>
  </si>
  <si>
    <t>C - 29.2 Manufacture of bodies and coachwork for motor vehicles; manufacture of trailers and semi-trailers</t>
  </si>
  <si>
    <t>NACE_C292</t>
  </si>
  <si>
    <t>C - 29.20 Manufacture of bodies and coachwork for motor vehicles; manufacture of trailers and semi-trailers</t>
  </si>
  <si>
    <t>NACE_C2920</t>
  </si>
  <si>
    <t>C - 29.3 Manufacture of motor vehicle parts and accessories</t>
  </si>
  <si>
    <t>NACE_C293</t>
  </si>
  <si>
    <t>C - 29.31 Manufacture of electrical and electronic equipment for motor vehicles</t>
  </si>
  <si>
    <t>NACE_C2931</t>
  </si>
  <si>
    <t>C - 29.32 Manufacture of other parts and accessories for motor vehicles</t>
  </si>
  <si>
    <t>NACE_C2932</t>
  </si>
  <si>
    <t>C - 30 Manufacture of other transport equipment</t>
  </si>
  <si>
    <t>NACE_C30</t>
  </si>
  <si>
    <t>C - 30.1 Building of ships and boats</t>
  </si>
  <si>
    <t>NACE_C301</t>
  </si>
  <si>
    <t>C - 30.11 Building of civilian ships and floating structures</t>
  </si>
  <si>
    <t>NACE_C3011</t>
  </si>
  <si>
    <t>C - 30.12 Building of pleasure and sporting boats</t>
  </si>
  <si>
    <t>NACE_C3012</t>
  </si>
  <si>
    <t>C - 30.13 Building of military ships and vessels</t>
  </si>
  <si>
    <t>NACE_C3013</t>
  </si>
  <si>
    <t>C - 30.2 Manufacture of railway locomotives and rolling stock</t>
  </si>
  <si>
    <t>NACE_C302</t>
  </si>
  <si>
    <t>C - 30.20 Manufacture of railway locomotives and rolling stock</t>
  </si>
  <si>
    <t>NACE_C3020</t>
  </si>
  <si>
    <t>C - 30.3 Manufacture of air and spacecraft and related machinery</t>
  </si>
  <si>
    <t>NACE_C303</t>
  </si>
  <si>
    <t>C - 30.31 Manufacture of civilian air and spacecraft and related machinery</t>
  </si>
  <si>
    <t>NACE_C3031</t>
  </si>
  <si>
    <t>C - 30.32 Manufacture of military air and spacecraft and related machinery</t>
  </si>
  <si>
    <t>NACE_C3032</t>
  </si>
  <si>
    <t>C - 30.4 Manufacture of military fighting vehicles</t>
  </si>
  <si>
    <t>NACE_C304</t>
  </si>
  <si>
    <t>C - 30.40 Manufacture of military fighting vehicles</t>
  </si>
  <si>
    <t>NACE_C3040</t>
  </si>
  <si>
    <t>C - 30.9 Manufacture of transport equipment n.e.c.</t>
  </si>
  <si>
    <t>NACE_C309</t>
  </si>
  <si>
    <t>C - 30.91 Manufacture of motorcycles</t>
  </si>
  <si>
    <t>NACE_C3091</t>
  </si>
  <si>
    <t>C - 30.92 Manufacture of bicycles and invalid carriages</t>
  </si>
  <si>
    <t>NACE_C3092</t>
  </si>
  <si>
    <t>C - 30.99 Manufacture of other transport equipment n.e.c.</t>
  </si>
  <si>
    <t>NACE_C3099</t>
  </si>
  <si>
    <t>C - 31 Manufacture of furniture</t>
  </si>
  <si>
    <t>NACE_C31</t>
  </si>
  <si>
    <t>C - 31.0 Manufacture of furniture</t>
  </si>
  <si>
    <t>NACE_C310</t>
  </si>
  <si>
    <t>C - 31.00 Manufacture of furniture</t>
  </si>
  <si>
    <t>NACE_C3100</t>
  </si>
  <si>
    <t>C - 32 Other manufacturing</t>
  </si>
  <si>
    <t>NACE_C32</t>
  </si>
  <si>
    <t>C - 32.1 Manufacture of jewellery, bijouterie and related articles</t>
  </si>
  <si>
    <t>NACE_C321</t>
  </si>
  <si>
    <t>C - 32.11 Striking of coins</t>
  </si>
  <si>
    <t>NACE_C3211</t>
  </si>
  <si>
    <t>C - 32.12 Manufacture of jewellery and related articles</t>
  </si>
  <si>
    <t>NACE_C3212</t>
  </si>
  <si>
    <t>C - 32.13 Manufacture of imitation jewellery and related articles</t>
  </si>
  <si>
    <t>NACE_C3213</t>
  </si>
  <si>
    <t>C - 32.2 Manufacture of musical instruments</t>
  </si>
  <si>
    <t>NACE_C322</t>
  </si>
  <si>
    <t>C - 32.20 Manufacture of musical instruments</t>
  </si>
  <si>
    <t>NACE_C3220</t>
  </si>
  <si>
    <t>C - 32.3 Manufacture of sports goods</t>
  </si>
  <si>
    <t>NACE_C323</t>
  </si>
  <si>
    <t>C - 32.30 Manufacture of sports goods</t>
  </si>
  <si>
    <t>NACE_C3230</t>
  </si>
  <si>
    <t>C - 32.4 Manufacture of games and toys</t>
  </si>
  <si>
    <t>NACE_C324</t>
  </si>
  <si>
    <t>C - 32.40 Manufacture of games and toys</t>
  </si>
  <si>
    <t>NACE_C3240</t>
  </si>
  <si>
    <t>C - 32.5 Manufacture of medical and dental instruments and supplies</t>
  </si>
  <si>
    <t>NACE_C325</t>
  </si>
  <si>
    <t>C - 32.50 Manufacture of medical and dental instruments and supplies</t>
  </si>
  <si>
    <t>NACE_C3250</t>
  </si>
  <si>
    <t>C - 32.9 Manufacturing n.e.c.</t>
  </si>
  <si>
    <t>NACE_C329</t>
  </si>
  <si>
    <t>C - 32.91 Manufacture of brooms and brushes</t>
  </si>
  <si>
    <t>NACE_C3291</t>
  </si>
  <si>
    <t>C - 32.99 Other manufacturing n.e.c.</t>
  </si>
  <si>
    <t>NACE_C3299</t>
  </si>
  <si>
    <t>C - 33 Repair, maintenance and installation of machinery and equipment</t>
  </si>
  <si>
    <t>NACE_C33</t>
  </si>
  <si>
    <t>C - 33.1 Repair and maintenance of fabricated metal products, machinery and equipment</t>
  </si>
  <si>
    <t>NACE_C331</t>
  </si>
  <si>
    <t>C - 33.11 Repair and maintenance of fabricated metal products</t>
  </si>
  <si>
    <t>NACE_C3311</t>
  </si>
  <si>
    <t>C - 33.12 Repair and maintenance of machinery</t>
  </si>
  <si>
    <t>NACE_C3312</t>
  </si>
  <si>
    <t>C - 33.13 Repair and maintenance of electronic and optical equipment</t>
  </si>
  <si>
    <t>NACE_C3313</t>
  </si>
  <si>
    <t>C - 33.14 Repair and maintenance of electrical equipment</t>
  </si>
  <si>
    <t>NACE_C3314</t>
  </si>
  <si>
    <t>C - 33.15 Repair and maintenance of civilian ships and boats</t>
  </si>
  <si>
    <t>NACE_C3315</t>
  </si>
  <si>
    <t>C - 33.16 Repair and maintenance of civilian air and spacecraft</t>
  </si>
  <si>
    <t>NACE_C3316</t>
  </si>
  <si>
    <t>C - 33.17 Repair and maintenance of other civilian transport equipment</t>
  </si>
  <si>
    <t>NACE_C3317</t>
  </si>
  <si>
    <t>C - 33.18 Repair and maintenance of military fighting vehicles, ships, boats, air and spacecraft</t>
  </si>
  <si>
    <t>NACE_C3318</t>
  </si>
  <si>
    <t>C - 33.19 Repair and maintenance of other equipment</t>
  </si>
  <si>
    <t>NACE_C3319</t>
  </si>
  <si>
    <t>C - 33.2 Installation of industrial machinery and equipment</t>
  </si>
  <si>
    <t>NACE_C332</t>
  </si>
  <si>
    <t>C - 33.20 Installation of industrial machinery and equipment</t>
  </si>
  <si>
    <t>NACE_C3320</t>
  </si>
  <si>
    <t>D - ELECTRICITY, GAS, STEAM AND AIR CONDITIONING SUPPLY</t>
  </si>
  <si>
    <t>NACE_D</t>
  </si>
  <si>
    <t>D - 35 Electricity, gas, steam and air conditioning supply</t>
  </si>
  <si>
    <t>NACE_D35</t>
  </si>
  <si>
    <t>D - 35.1 Electric power generation, transmission and distribution</t>
  </si>
  <si>
    <t>NACE_D351</t>
  </si>
  <si>
    <t>D - 35.11 Production of electricity from non-renewable sources</t>
  </si>
  <si>
    <t>NACE_D3511</t>
  </si>
  <si>
    <t>D - 35.12 Production of electricity from renewable sources</t>
  </si>
  <si>
    <t>NACE_D3512</t>
  </si>
  <si>
    <t>D - 35.13 Transmission of electricity</t>
  </si>
  <si>
    <t>NACE_D3513</t>
  </si>
  <si>
    <t>D - 35.14 Distribution of electricity</t>
  </si>
  <si>
    <t>NACE_D3514</t>
  </si>
  <si>
    <t>D - 35.15 Trade of electricity</t>
  </si>
  <si>
    <t>NACE_D3515</t>
  </si>
  <si>
    <t>D - 35.16 Storage of electricity</t>
  </si>
  <si>
    <t>NACE_D3516</t>
  </si>
  <si>
    <t>D - 35.2 Manufacture of gas, and distribution of gaseous fuels through mains</t>
  </si>
  <si>
    <t>NACE_D352</t>
  </si>
  <si>
    <t>D - 35.21 Manufacture of gas</t>
  </si>
  <si>
    <t>NACE_D3521</t>
  </si>
  <si>
    <t>D - 35.22 Distribution of gaseous fuels through mains</t>
  </si>
  <si>
    <t>NACE_D3522</t>
  </si>
  <si>
    <t>D - 35.23 Trade of gas through mains</t>
  </si>
  <si>
    <t>NACE_D3523</t>
  </si>
  <si>
    <t>D - 35.24 Storage of gas as part of network supply services</t>
  </si>
  <si>
    <t>NACE_D3524</t>
  </si>
  <si>
    <t>D - 35.3 Steam and air conditioning supply</t>
  </si>
  <si>
    <t>NACE_D353</t>
  </si>
  <si>
    <t>D - 35.30 Steam and air conditioning supply</t>
  </si>
  <si>
    <t>NACE_D3530</t>
  </si>
  <si>
    <t>D - 35.4 Activities of brokers and agents for electric power and natural gas</t>
  </si>
  <si>
    <t>NACE_D354</t>
  </si>
  <si>
    <t>D - 35.40 Activities of brokers and agents for electric power and natural gas</t>
  </si>
  <si>
    <t>NACE_D3540</t>
  </si>
  <si>
    <t>E - WATER SUPPLY; SEWERAGE, WASTE MANAGEMENT AND REMEDIATION ACTIVITIES</t>
  </si>
  <si>
    <t>NACE_E</t>
  </si>
  <si>
    <t>E - 36 Water collection, treatment and supply</t>
  </si>
  <si>
    <t>NACE_E36</t>
  </si>
  <si>
    <t>E - 36.0 Water collection, treatment and supply</t>
  </si>
  <si>
    <t>NACE_E360</t>
  </si>
  <si>
    <t>E - 36.00 Water collection, treatment and supply</t>
  </si>
  <si>
    <t>NACE_E3600</t>
  </si>
  <si>
    <t>E - 37 Sewerage</t>
  </si>
  <si>
    <t>NACE_E37</t>
  </si>
  <si>
    <t>E - 37.0 Sewerage</t>
  </si>
  <si>
    <t>NACE_E370</t>
  </si>
  <si>
    <t>E - 37.00 Sewerage</t>
  </si>
  <si>
    <t>NACE_E3700</t>
  </si>
  <si>
    <t>E - 38 Waste collection, recovery and disposal activities</t>
  </si>
  <si>
    <t>NACE_E38</t>
  </si>
  <si>
    <t>E - 38.1 Waste collection</t>
  </si>
  <si>
    <t>NACE_E381</t>
  </si>
  <si>
    <t>E - 38.11 Collection of non-hazardous waste</t>
  </si>
  <si>
    <t>NACE_E3811</t>
  </si>
  <si>
    <t>E - 38.12 Collection of hazardous waste</t>
  </si>
  <si>
    <t>NACE_E3812</t>
  </si>
  <si>
    <t>E - 38.2 Waste recovery</t>
  </si>
  <si>
    <t>NACE_E382</t>
  </si>
  <si>
    <t>E - 38.21 Materials recovery</t>
  </si>
  <si>
    <t>NACE_E3821</t>
  </si>
  <si>
    <t>E - 38.22 Energy recovery</t>
  </si>
  <si>
    <t>NACE_E3822</t>
  </si>
  <si>
    <t>E - 38.23 Other waste recovery</t>
  </si>
  <si>
    <t>NACE_E3823</t>
  </si>
  <si>
    <t>E - 38.3 Waste disposal without recovery</t>
  </si>
  <si>
    <t>NACE_E383</t>
  </si>
  <si>
    <t>E - 38.31 Incineration without energy recovery</t>
  </si>
  <si>
    <t>NACE_E3831</t>
  </si>
  <si>
    <t>E - 38.32 Landfilling or permanent storage</t>
  </si>
  <si>
    <t>NACE_E3832</t>
  </si>
  <si>
    <t>E - 38.33 Other waste disposal</t>
  </si>
  <si>
    <t>NACE_E3833</t>
  </si>
  <si>
    <t>E - 39 Remediation activities and other waste management service activities</t>
  </si>
  <si>
    <t>NACE_E39</t>
  </si>
  <si>
    <t>E - 39.0 Remediation activities and other waste management service activities</t>
  </si>
  <si>
    <t>NACE_E390</t>
  </si>
  <si>
    <t>E - 39.00 Remediation activities and other waste management service activities</t>
  </si>
  <si>
    <t>NACE_E3900</t>
  </si>
  <si>
    <t>F - CONSTRUCTION</t>
  </si>
  <si>
    <t>NACE_F</t>
  </si>
  <si>
    <t>F - 41 Construction of residential and non-residential buildings</t>
  </si>
  <si>
    <t>NACE_F41</t>
  </si>
  <si>
    <t>F - 41.0 Construction of residential and non-residential buildings</t>
  </si>
  <si>
    <t>NACE_F410</t>
  </si>
  <si>
    <t>F - 41.00 Construction of residential and non-residential buildings</t>
  </si>
  <si>
    <t>NACE_F4100</t>
  </si>
  <si>
    <t>F - 42 Civil engineering</t>
  </si>
  <si>
    <t>NACE_F42</t>
  </si>
  <si>
    <t>F - 42.1 Construction of roads and railways</t>
  </si>
  <si>
    <t>NACE_F421</t>
  </si>
  <si>
    <t>F - 42.11 Construction of roads and motorways</t>
  </si>
  <si>
    <t>NACE_F4211</t>
  </si>
  <si>
    <t>F - 42.12 Construction of railways and underground railways</t>
  </si>
  <si>
    <t>NACE_F4212</t>
  </si>
  <si>
    <t>F - 42.13 Construction of bridges and tunnels</t>
  </si>
  <si>
    <t>NACE_F4213</t>
  </si>
  <si>
    <t>F - 42.2 Construction of utility projects</t>
  </si>
  <si>
    <t>NACE_F422</t>
  </si>
  <si>
    <t>F - 42.21 Construction of utility projects for fluids</t>
  </si>
  <si>
    <t>NACE_F4221</t>
  </si>
  <si>
    <t>F - 42.22 Construction of utility projects for electricity and telecommunications</t>
  </si>
  <si>
    <t>NACE_F4222</t>
  </si>
  <si>
    <t>F - 42.9 Construction of other civil engineering projects</t>
  </si>
  <si>
    <t>NACE_F429</t>
  </si>
  <si>
    <t>F - 42.91 Construction of water projects</t>
  </si>
  <si>
    <t>NACE_F4291</t>
  </si>
  <si>
    <t>F - 42.99 Construction of other civil engineering projects n.e.c.</t>
  </si>
  <si>
    <t>NACE_F4299</t>
  </si>
  <si>
    <t>F - 43 Specialised construction activities</t>
  </si>
  <si>
    <t>NACE_F43</t>
  </si>
  <si>
    <t>F - 43.1 Demolition and site preparation</t>
  </si>
  <si>
    <t>NACE_F431</t>
  </si>
  <si>
    <t>F - 43.11 Demolition</t>
  </si>
  <si>
    <t>NACE_F4311</t>
  </si>
  <si>
    <t>F - 43.12 Site preparation</t>
  </si>
  <si>
    <t>NACE_F4312</t>
  </si>
  <si>
    <t>F - 43.13 Test drilling and boring</t>
  </si>
  <si>
    <t>NACE_F4313</t>
  </si>
  <si>
    <t>F - 43.2 Electrical, plumbing and other construction installation activities</t>
  </si>
  <si>
    <t>NACE_F432</t>
  </si>
  <si>
    <t>F - 43.21 Electrical installation</t>
  </si>
  <si>
    <t>NACE_F4321</t>
  </si>
  <si>
    <t>F - 43.22 Plumbing, heat and air-conditioning installation</t>
  </si>
  <si>
    <t>NACE_F4322</t>
  </si>
  <si>
    <t>F - 43.23 Installation of insulation</t>
  </si>
  <si>
    <t>NACE_F4323</t>
  </si>
  <si>
    <t>F - 43.24 Other construction installation</t>
  </si>
  <si>
    <t>NACE_F4324</t>
  </si>
  <si>
    <t>F - 43.3 Building completion and finishing</t>
  </si>
  <si>
    <t>NACE_F433</t>
  </si>
  <si>
    <t>F - 43.31 Plastering</t>
  </si>
  <si>
    <t>NACE_F4331</t>
  </si>
  <si>
    <t>F - 43.32 Joinery installation</t>
  </si>
  <si>
    <t>NACE_F4332</t>
  </si>
  <si>
    <t>F - 43.33 Floor and wall covering</t>
  </si>
  <si>
    <t>NACE_F4333</t>
  </si>
  <si>
    <t>F - 43.34 Painting and glazing</t>
  </si>
  <si>
    <t>NACE_F4334</t>
  </si>
  <si>
    <t>F - 43.35 Other building completion and finishing</t>
  </si>
  <si>
    <t>NACE_F4335</t>
  </si>
  <si>
    <t>F - 43.4 Specialised construction activities in construction of buildings</t>
  </si>
  <si>
    <t>NACE_F434</t>
  </si>
  <si>
    <t>F - 43.41 Roofing activities</t>
  </si>
  <si>
    <t>NACE_F4341</t>
  </si>
  <si>
    <t>F - 43.42 Other specialised construction activities in construction of buildings</t>
  </si>
  <si>
    <t>NACE_F4342</t>
  </si>
  <si>
    <t>F - 43.5 Specialised construction activities in civil engineering</t>
  </si>
  <si>
    <t>NACE_F435</t>
  </si>
  <si>
    <t>F - 43.50 Specialised construction activities in civil engineering</t>
  </si>
  <si>
    <t>NACE_F4350</t>
  </si>
  <si>
    <t>F - 43.6 Intermediation service activities for specialised construction services</t>
  </si>
  <si>
    <t>NACE_F436</t>
  </si>
  <si>
    <t>F - 43.60 Intermediation service activities for specialised construction services</t>
  </si>
  <si>
    <t>NACE_F4360</t>
  </si>
  <si>
    <t>F - 43.9 Other specialised construction activities</t>
  </si>
  <si>
    <t>NACE_F439</t>
  </si>
  <si>
    <t>F - 43.91 Masonry and bricklaying activities</t>
  </si>
  <si>
    <t>NACE_F4391</t>
  </si>
  <si>
    <t>F - 43.99 Other specialised construction activities n.e.c.</t>
  </si>
  <si>
    <t>NACE_F4399</t>
  </si>
  <si>
    <t>G - WHOLESALE AND RETAIL TRADE</t>
  </si>
  <si>
    <t>NACE_G</t>
  </si>
  <si>
    <t>G - 46 Wholesale trade</t>
  </si>
  <si>
    <t>NACE_G46</t>
  </si>
  <si>
    <t>G - 46.1 Wholesale on a fee or contract basis</t>
  </si>
  <si>
    <t>NACE_G461</t>
  </si>
  <si>
    <t>G - 46.11 Activities of agents involved in the wholesale of agricultural raw materials, live animals, textile raw materials and semi-finished goods</t>
  </si>
  <si>
    <t>NACE_G4611</t>
  </si>
  <si>
    <t>G - 46.12 Activities of agents involved in the wholesale of fuels, ores, metals and industrial chemicals</t>
  </si>
  <si>
    <t>NACE_G4612</t>
  </si>
  <si>
    <t>G - 46.13 Activities of agents involved in the wholesale of timber and building materials</t>
  </si>
  <si>
    <t>NACE_G4613</t>
  </si>
  <si>
    <t>G - 46.14 Activities of agents involved in the wholesale of machinery, industrial equipment, ships and aircraft</t>
  </si>
  <si>
    <t>NACE_G4614</t>
  </si>
  <si>
    <t>G - 46.15 Activities of agents involved in the wholesale of furniture, household goods, hardware and ironmongery</t>
  </si>
  <si>
    <t>NACE_G4615</t>
  </si>
  <si>
    <t>G - 46.16 Activities of agents involved in the wholesale of textiles, clothing, fur, footwear and leather goods</t>
  </si>
  <si>
    <t>NACE_G4616</t>
  </si>
  <si>
    <t>G - 46.17 Activities of agents involved in the wholesale of food, beverages and tobacco</t>
  </si>
  <si>
    <t>NACE_G4617</t>
  </si>
  <si>
    <t>G - 46.18 Activities of agents involved in the wholesale of other particular products</t>
  </si>
  <si>
    <t>NACE_G4618</t>
  </si>
  <si>
    <t>G - 46.19 Activities of agents involved in non-specialised wholesale</t>
  </si>
  <si>
    <t>NACE_G4619</t>
  </si>
  <si>
    <t>G - 46.2 Wholesale of agricultural raw materials and live animals</t>
  </si>
  <si>
    <t>NACE_G462</t>
  </si>
  <si>
    <t>G - 46.21 Wholesale of grain, unmanufactured tobacco, seeds and animal feeds</t>
  </si>
  <si>
    <t>NACE_G4621</t>
  </si>
  <si>
    <t>G - 46.22 Wholesale of flowers and plants</t>
  </si>
  <si>
    <t>NACE_G4622</t>
  </si>
  <si>
    <t>G - 46.23 Wholesale of live animals</t>
  </si>
  <si>
    <t>NACE_G4623</t>
  </si>
  <si>
    <t>G - 46.24 Wholesale of hides, skins and leather</t>
  </si>
  <si>
    <t>NACE_G4624</t>
  </si>
  <si>
    <t>G - 46.3 Wholesale of food, beverages and tobacco</t>
  </si>
  <si>
    <t>NACE_G463</t>
  </si>
  <si>
    <t>G - 46.31 Wholesale of fruit and vegetables</t>
  </si>
  <si>
    <t>NACE_G4631</t>
  </si>
  <si>
    <t>G - 46.32 Wholesale of meat, meat products, fish and fish products</t>
  </si>
  <si>
    <t>NACE_G4632</t>
  </si>
  <si>
    <t>G - 46.33 Wholesale of dairy products, eggs and edible oils and fats</t>
  </si>
  <si>
    <t>NACE_G4633</t>
  </si>
  <si>
    <t>G - 46.34 Wholesale of beverages</t>
  </si>
  <si>
    <t>NACE_G4634</t>
  </si>
  <si>
    <t>G - 46.35 Wholesale of tobacco products</t>
  </si>
  <si>
    <t>NACE_G4635</t>
  </si>
  <si>
    <t>G - 46.36 Wholesale of sugar, chocolate and sugar confectionery</t>
  </si>
  <si>
    <t>NACE_G4636</t>
  </si>
  <si>
    <t>G - 46.37 Wholesale of coffee, tea, cocoa and spices</t>
  </si>
  <si>
    <t>NACE_G4637</t>
  </si>
  <si>
    <t>G - 46.38 Wholesale of other food</t>
  </si>
  <si>
    <t>NACE_G4638</t>
  </si>
  <si>
    <t>G - 46.39 Non-specialised wholesale of food, beverages and tobacco</t>
  </si>
  <si>
    <t>NACE_G4639</t>
  </si>
  <si>
    <t>G - 46.4 Wholesale of household goods</t>
  </si>
  <si>
    <t>NACE_G464</t>
  </si>
  <si>
    <t>G - 46.41 Wholesale of textiles</t>
  </si>
  <si>
    <t>NACE_G4641</t>
  </si>
  <si>
    <t>G - 46.42 Wholesale of clothing and footwear</t>
  </si>
  <si>
    <t>NACE_G4642</t>
  </si>
  <si>
    <t>G - 46.43 Wholesale of electrical household appliances</t>
  </si>
  <si>
    <t>NACE_G4643</t>
  </si>
  <si>
    <t>G - 46.44 Wholesale of china and glassware and cleaning materials</t>
  </si>
  <si>
    <t>NACE_G4644</t>
  </si>
  <si>
    <t>G - 46.45 Wholesale of perfume and cosmetics</t>
  </si>
  <si>
    <t>NACE_G4645</t>
  </si>
  <si>
    <t>G - 46.46 Wholesale of pharmaceutical and medical goods</t>
  </si>
  <si>
    <t>NACE_G4646</t>
  </si>
  <si>
    <t>G - 46.47 Wholesale of household, office and shop furniture, carpets and lighting equipment</t>
  </si>
  <si>
    <t>NACE_G4647</t>
  </si>
  <si>
    <t>G - 46.48 Wholesale of watches and jewellery</t>
  </si>
  <si>
    <t>NACE_G4648</t>
  </si>
  <si>
    <t>G - 46.49 Wholesale of other household goods</t>
  </si>
  <si>
    <t>NACE_G4649</t>
  </si>
  <si>
    <t>G - 46.5 Wholesale of information and communication equipment</t>
  </si>
  <si>
    <t>NACE_G465</t>
  </si>
  <si>
    <t>G - 46.50 Wholesale of information and communication equipment</t>
  </si>
  <si>
    <t>NACE_G4650</t>
  </si>
  <si>
    <t>G - 46.6 Wholesale of other machinery, equipment and supplies</t>
  </si>
  <si>
    <t>NACE_G466</t>
  </si>
  <si>
    <t>G - 46.61 Wholesale of agricultural machinery, equipment and supplies</t>
  </si>
  <si>
    <t>NACE_G4661</t>
  </si>
  <si>
    <t>G - 46.62 Wholesale of machine tools</t>
  </si>
  <si>
    <t>NACE_G4662</t>
  </si>
  <si>
    <t>G - 46.63 Wholesale of mining, construction and civil engineering machinery</t>
  </si>
  <si>
    <t>NACE_G4663</t>
  </si>
  <si>
    <t>G - 46.64 Wholesale of other machinery and equipment</t>
  </si>
  <si>
    <t>NACE_G4664</t>
  </si>
  <si>
    <t>G - 46.7 Wholesale of motor vehicles, motorcycles and related parts and accessories</t>
  </si>
  <si>
    <t>NACE_G467</t>
  </si>
  <si>
    <t>G - 46.71 Wholesale of motor vehicles</t>
  </si>
  <si>
    <t>NACE_G4671</t>
  </si>
  <si>
    <t>G - 46.72 Wholesale of motor vehicle parts and accessories</t>
  </si>
  <si>
    <t>NACE_G4672</t>
  </si>
  <si>
    <t>G - 46.73 Wholesale of motorcycles, motorcycle parts and accessories</t>
  </si>
  <si>
    <t>NACE_G4673</t>
  </si>
  <si>
    <t>G - 46.8 Other specialised wholesale</t>
  </si>
  <si>
    <t>NACE_G468</t>
  </si>
  <si>
    <t>G - 46.81 Wholesale of solid, liquid and gaseous fuels and related products</t>
  </si>
  <si>
    <t>NACE_G4681</t>
  </si>
  <si>
    <t>G - 46.82 Wholesale of metals and metal ores</t>
  </si>
  <si>
    <t>NACE_G4682</t>
  </si>
  <si>
    <t>G - 46.83 Wholesale of wood, construction materials and sanitary equipment</t>
  </si>
  <si>
    <t>NACE_G4683</t>
  </si>
  <si>
    <t>G - 46.84 Wholesale of hardware, plumbing and heating equipment and supplies</t>
  </si>
  <si>
    <t>NACE_G4684</t>
  </si>
  <si>
    <t>G - 46.85 Wholesale of chemical products</t>
  </si>
  <si>
    <t>NACE_G4685</t>
  </si>
  <si>
    <t>G - 46.86 Wholesale of other intermediate products</t>
  </si>
  <si>
    <t>NACE_G4686</t>
  </si>
  <si>
    <t>G - 46.87 Wholesale of waste and scrap</t>
  </si>
  <si>
    <t>NACE_G4687</t>
  </si>
  <si>
    <t>G - 46.89 Other specialised wholesale n.e.c.</t>
  </si>
  <si>
    <t>NACE_G4689</t>
  </si>
  <si>
    <t>G - 46.9 Non-specialised wholesale trade</t>
  </si>
  <si>
    <t>NACE_G469</t>
  </si>
  <si>
    <t>G - 46.90 Non-specialised wholesale trade</t>
  </si>
  <si>
    <t>NACE_G4690</t>
  </si>
  <si>
    <t>G - 47 Retail trade</t>
  </si>
  <si>
    <t>NACE_G47</t>
  </si>
  <si>
    <t>G - 47.1 Non-specialised retail sale</t>
  </si>
  <si>
    <t>NACE_G471</t>
  </si>
  <si>
    <t>G - 47.11 Non-specialised retail sale of predominately food, beverages or tobacco</t>
  </si>
  <si>
    <t>NACE_G4711</t>
  </si>
  <si>
    <t>G - 47.12 Other non-specialised retail sale</t>
  </si>
  <si>
    <t>NACE_G4712</t>
  </si>
  <si>
    <t>G - 47.2 Retail sale of food, beverages and tobacco</t>
  </si>
  <si>
    <t>NACE_G472</t>
  </si>
  <si>
    <t>G - 47.21 Retail sale of fruit and vegetables</t>
  </si>
  <si>
    <t>NACE_G4721</t>
  </si>
  <si>
    <t>G - 47.22 Retail sale of meat and meat products</t>
  </si>
  <si>
    <t>NACE_G4722</t>
  </si>
  <si>
    <t>G - 47.23 Retail sale of fish, crustaceans and molluscs</t>
  </si>
  <si>
    <t>NACE_G4723</t>
  </si>
  <si>
    <t>G - 47.24 Retail sale of bread, cake and confectionery</t>
  </si>
  <si>
    <t>NACE_G4724</t>
  </si>
  <si>
    <t>G - 47.25 Retail sale of beverages</t>
  </si>
  <si>
    <t>NACE_G4725</t>
  </si>
  <si>
    <t>G - 47.26 Retail sale of tobacco products</t>
  </si>
  <si>
    <t>NACE_G4726</t>
  </si>
  <si>
    <t>G - 47.27 Retail sale of other food</t>
  </si>
  <si>
    <t>NACE_G4727</t>
  </si>
  <si>
    <t>G - 47.3 Retail sale of automotive fuel</t>
  </si>
  <si>
    <t>NACE_G473</t>
  </si>
  <si>
    <t>G - 47.30 Retail sale of automotive fuel</t>
  </si>
  <si>
    <t>NACE_G4730</t>
  </si>
  <si>
    <t>G - 47.4 Retail sale of information and communication equipment</t>
  </si>
  <si>
    <t>NACE_G474</t>
  </si>
  <si>
    <t>G - 47.40 Retail sale of information and communication equipment</t>
  </si>
  <si>
    <t>NACE_G4740</t>
  </si>
  <si>
    <t>G - 47.5 Retail sale of other household equipment</t>
  </si>
  <si>
    <t>NACE_G475</t>
  </si>
  <si>
    <t>G - 47.51 Retail sale of textiles</t>
  </si>
  <si>
    <t>NACE_G4751</t>
  </si>
  <si>
    <t>G - 47.52 Retail sale of hardware, building materials, paints and glass</t>
  </si>
  <si>
    <t>NACE_G4752</t>
  </si>
  <si>
    <t>G - 47.53 Retail sale of carpets, rugs, wall and floor coverings</t>
  </si>
  <si>
    <t>NACE_G4753</t>
  </si>
  <si>
    <t>G - 47.54 Retail sale of electrical household appliances</t>
  </si>
  <si>
    <t>NACE_G4754</t>
  </si>
  <si>
    <t>G - 47.55 Retail sale of furniture, lighting equipment, tableware and other household goods</t>
  </si>
  <si>
    <t>NACE_G4755</t>
  </si>
  <si>
    <t>G - 47.6 Retail sale of cultural and recreation goods</t>
  </si>
  <si>
    <t>NACE_G476</t>
  </si>
  <si>
    <t>G - 47.61 Retail sale of books</t>
  </si>
  <si>
    <t>NACE_G4761</t>
  </si>
  <si>
    <t>G - 47.62 Retail sale of newspapers, and other periodical publications and stationery</t>
  </si>
  <si>
    <t>NACE_G4762</t>
  </si>
  <si>
    <t>G - 47.63 Retail sale of sporting equipment</t>
  </si>
  <si>
    <t>NACE_G4763</t>
  </si>
  <si>
    <t>G - 47.64 Retail sale of games and toys</t>
  </si>
  <si>
    <t>NACE_G4764</t>
  </si>
  <si>
    <t>G - 47.69 Retail sale of cultural and recreational goods n.e.c.</t>
  </si>
  <si>
    <t>NACE_G4769</t>
  </si>
  <si>
    <t>G - 47.7 Retail sale of other goods, except motor vehicles and motorcycles</t>
  </si>
  <si>
    <t>NACE_G477</t>
  </si>
  <si>
    <t>G - 47.71 Retail sale of clothing</t>
  </si>
  <si>
    <t>NACE_G4771</t>
  </si>
  <si>
    <t>G - 47.72 Retail sale of footwear and leather goods</t>
  </si>
  <si>
    <t>NACE_G4772</t>
  </si>
  <si>
    <t>G - 47.73 Retail sale of pharmaceutical products</t>
  </si>
  <si>
    <t>NACE_G4773</t>
  </si>
  <si>
    <t>G - 47.74 Retail sale of medical and orthopaedic goods</t>
  </si>
  <si>
    <t>NACE_G4774</t>
  </si>
  <si>
    <t>G - 47.75 Retail sale of cosmetic and toilet articles</t>
  </si>
  <si>
    <t>NACE_G4775</t>
  </si>
  <si>
    <t>G - 47.76 Retail sale of flowers, plants, fertilisers, pets and pet food</t>
  </si>
  <si>
    <t>NACE_G4776</t>
  </si>
  <si>
    <t>G - 47.77 Retail sale of watches and jewellery</t>
  </si>
  <si>
    <t>NACE_G4777</t>
  </si>
  <si>
    <t>G - 47.78 Retail sale of other new goods</t>
  </si>
  <si>
    <t>NACE_G4778</t>
  </si>
  <si>
    <t>G - 47.79 Retail sale of second-hand goods</t>
  </si>
  <si>
    <t>NACE_G4779</t>
  </si>
  <si>
    <t>G - 47.8 Retail sale of motor vehicles, motorcycles and related parts and accessories</t>
  </si>
  <si>
    <t>NACE_G478</t>
  </si>
  <si>
    <t>G - 47.81 Retail sale of motor vehicles</t>
  </si>
  <si>
    <t>NACE_G4781</t>
  </si>
  <si>
    <t>G - 47.82 Retail sale of motor vehicle parts and accessories</t>
  </si>
  <si>
    <t>NACE_G4782</t>
  </si>
  <si>
    <t>G - 47.83 Retail sale of motorcycles, motorcycle parts and accessories</t>
  </si>
  <si>
    <t>NACE_G4783</t>
  </si>
  <si>
    <t>G - 47.9 Intermediation service activities for retail sale</t>
  </si>
  <si>
    <t>NACE_G479</t>
  </si>
  <si>
    <t>G - 47.91 Intermediation service activities for non-specialised retail sale</t>
  </si>
  <si>
    <t>NACE_G4791</t>
  </si>
  <si>
    <t>G - 47.92 Intermediation service activities for specialised retail sale</t>
  </si>
  <si>
    <t>NACE_G4792</t>
  </si>
  <si>
    <t>H - TRANSPORTATION AND STORAGE</t>
  </si>
  <si>
    <t>NACE_H</t>
  </si>
  <si>
    <t>H - 49 Land transport and transport via pipelines</t>
  </si>
  <si>
    <t>NACE_H49</t>
  </si>
  <si>
    <t>H - 49.1 Passenger rail transport</t>
  </si>
  <si>
    <t>NACE_H491</t>
  </si>
  <si>
    <t>H - 49.11 Passenger heavy rail transport</t>
  </si>
  <si>
    <t>NACE_H4911</t>
  </si>
  <si>
    <t>H - 49.12 Other passenger rail transport</t>
  </si>
  <si>
    <t>NACE_H4912</t>
  </si>
  <si>
    <t>H - 49.2 Freight rail transport</t>
  </si>
  <si>
    <t>NACE_H492</t>
  </si>
  <si>
    <t>H - 49.20 Freight rail transport</t>
  </si>
  <si>
    <t>NACE_H4920</t>
  </si>
  <si>
    <t>H - 49.3 Other passenger land transport</t>
  </si>
  <si>
    <t>NACE_H493</t>
  </si>
  <si>
    <t>H - 49.31 Scheduled passenger transport by road</t>
  </si>
  <si>
    <t>NACE_H4931</t>
  </si>
  <si>
    <t>H - 49.32 Non-scheduled passenger transport by road</t>
  </si>
  <si>
    <t>NACE_H4932</t>
  </si>
  <si>
    <t>H - 49.33 On-demand passenger transport service activities by vehicle with driver</t>
  </si>
  <si>
    <t>NACE_H4933</t>
  </si>
  <si>
    <t>H - 49.34 Passenger transport by cableways and ski lifts</t>
  </si>
  <si>
    <t>NACE_H4934</t>
  </si>
  <si>
    <t>H - 49.39 Other passenger land transport n.e.c.</t>
  </si>
  <si>
    <t>NACE_H4939</t>
  </si>
  <si>
    <t>H - 49.4 Freight transport by road and removal services</t>
  </si>
  <si>
    <t>NACE_H494</t>
  </si>
  <si>
    <t>H - 49.41 Freight transport by road</t>
  </si>
  <si>
    <t>NACE_H4941</t>
  </si>
  <si>
    <t>H - 49.42 Removal services</t>
  </si>
  <si>
    <t>NACE_H4942</t>
  </si>
  <si>
    <t>H - 49.5 Transport via pipeline</t>
  </si>
  <si>
    <t>NACE_H495</t>
  </si>
  <si>
    <t>H - 49.50 Transport via pipeline</t>
  </si>
  <si>
    <t>NACE_H4950</t>
  </si>
  <si>
    <t>H - 50 Water transport</t>
  </si>
  <si>
    <t>NACE_H50</t>
  </si>
  <si>
    <t>H - 50.1 Sea and coastal passenger water transport</t>
  </si>
  <si>
    <t>NACE_H501</t>
  </si>
  <si>
    <t>H - 50.10 Sea and coastal passenger water transport</t>
  </si>
  <si>
    <t>NACE_H5010</t>
  </si>
  <si>
    <t>H - 50.2 Sea and coastal freight water transport</t>
  </si>
  <si>
    <t>NACE_H502</t>
  </si>
  <si>
    <t>H - 50.20 Sea and coastal freight water transport</t>
  </si>
  <si>
    <t>NACE_H5020</t>
  </si>
  <si>
    <t>H - 50.3 Inland passenger water transport</t>
  </si>
  <si>
    <t>NACE_H503</t>
  </si>
  <si>
    <t>H - 50.30 Inland passenger water transport</t>
  </si>
  <si>
    <t>NACE_H5030</t>
  </si>
  <si>
    <t>H - 50.4 Inland freight water transport</t>
  </si>
  <si>
    <t>NACE_H504</t>
  </si>
  <si>
    <t>H - 50.40 Inland freight water transport</t>
  </si>
  <si>
    <t>NACE_H5040</t>
  </si>
  <si>
    <t>H - 51 Air transport</t>
  </si>
  <si>
    <t>NACE_H51</t>
  </si>
  <si>
    <t>H - 51.1 Passenger air transport</t>
  </si>
  <si>
    <t>NACE_H511</t>
  </si>
  <si>
    <t>H - 51.10 Passenger air transport</t>
  </si>
  <si>
    <t>NACE_H5110</t>
  </si>
  <si>
    <t>H - 51.2 Freight air transport and space transport</t>
  </si>
  <si>
    <t>NACE_H512</t>
  </si>
  <si>
    <t>H - 51.21 Freight air transport</t>
  </si>
  <si>
    <t>NACE_H5121</t>
  </si>
  <si>
    <t>H - 51.22 Space transport</t>
  </si>
  <si>
    <t>NACE_H5122</t>
  </si>
  <si>
    <t>H - 52 Warehousing, storage and support activities for transportation</t>
  </si>
  <si>
    <t>NACE_H52</t>
  </si>
  <si>
    <t>H - 52.1 Warehousing and storage</t>
  </si>
  <si>
    <t>NACE_H521</t>
  </si>
  <si>
    <t>H - 52.10 Warehousing and storage</t>
  </si>
  <si>
    <t>NACE_H5210</t>
  </si>
  <si>
    <t>H - 52.2 Support activities for transportation</t>
  </si>
  <si>
    <t>NACE_H522</t>
  </si>
  <si>
    <t>H - 52.21 Service activities incidental to land transportation</t>
  </si>
  <si>
    <t>NACE_H5221</t>
  </si>
  <si>
    <t>H - 52.22 Service activities incidental to water transportation</t>
  </si>
  <si>
    <t>NACE_H5222</t>
  </si>
  <si>
    <t>H - 52.23 Service activities incidental to air transportation</t>
  </si>
  <si>
    <t>NACE_H5223</t>
  </si>
  <si>
    <t>H - 52.24 Cargo handling</t>
  </si>
  <si>
    <t>NACE_H5224</t>
  </si>
  <si>
    <t>H - 52.25 Logistics service activities</t>
  </si>
  <si>
    <t>NACE_H5225</t>
  </si>
  <si>
    <t>H - 52.26 Other support activities for transportation</t>
  </si>
  <si>
    <t>NACE_H5226</t>
  </si>
  <si>
    <t>H - 52.3 Intermediation service activities for transportation</t>
  </si>
  <si>
    <t>NACE_H523</t>
  </si>
  <si>
    <t>H - 52.31 Intermediation service activities for freight transportation</t>
  </si>
  <si>
    <t>NACE_H5231</t>
  </si>
  <si>
    <t>H - 52.32 Intermediation service activities for passenger transportation</t>
  </si>
  <si>
    <t>NACE_H5232</t>
  </si>
  <si>
    <t>H - 53 Postal and courier activities</t>
  </si>
  <si>
    <t>NACE_H53</t>
  </si>
  <si>
    <t>H - 53.1 Postal activities under universal service obligation</t>
  </si>
  <si>
    <t>NACE_H531</t>
  </si>
  <si>
    <t>H - 53.10 Postal activities under universal service obligation</t>
  </si>
  <si>
    <t>NACE_H5310</t>
  </si>
  <si>
    <t>H - 53.2 Other postal and courier activities</t>
  </si>
  <si>
    <t>NACE_H532</t>
  </si>
  <si>
    <t>H - 53.20 Other postal and courier activities</t>
  </si>
  <si>
    <t>NACE_H5320</t>
  </si>
  <si>
    <t>H - 53.3 Intermediation service activities for postal and courier activities</t>
  </si>
  <si>
    <t>NACE_H533</t>
  </si>
  <si>
    <t>H - 53.30 Intermediation service activities for postal and courier activities</t>
  </si>
  <si>
    <t>NACE_H5330</t>
  </si>
  <si>
    <t>I - ACCOMMODATION AND FOOD SERVICE ACTIVITIES</t>
  </si>
  <si>
    <t>NACE_I</t>
  </si>
  <si>
    <t>I - 55 Accommodation</t>
  </si>
  <si>
    <t>NACE_I55</t>
  </si>
  <si>
    <t>I - 55.1 Hotels and similar accommodation</t>
  </si>
  <si>
    <t>NACE_I551</t>
  </si>
  <si>
    <t>I - 55.10 Hotels and similar accommodation</t>
  </si>
  <si>
    <t>NACE_I5510</t>
  </si>
  <si>
    <t>I - 55.2 Holiday and other short-stay accommodation</t>
  </si>
  <si>
    <t>NACE_I552</t>
  </si>
  <si>
    <t>I - 55.20 Holiday and other short-stay accommodation</t>
  </si>
  <si>
    <t>NACE_I5520</t>
  </si>
  <si>
    <t>I - 55.3 Camping grounds and recreational vehicle parks</t>
  </si>
  <si>
    <t>NACE_I553</t>
  </si>
  <si>
    <t>I - 55.30 Camping grounds and recreational vehicle parks</t>
  </si>
  <si>
    <t>NACE_I5530</t>
  </si>
  <si>
    <t>I - 55.4 Intermediation service activities for accommodation</t>
  </si>
  <si>
    <t>NACE_I554</t>
  </si>
  <si>
    <t>I - 55.40 Intermediation service activities for accommodation</t>
  </si>
  <si>
    <t>NACE_I5540</t>
  </si>
  <si>
    <t>I - 55.9 Other accommodation</t>
  </si>
  <si>
    <t>NACE_I559</t>
  </si>
  <si>
    <t>I - 55.90 Other accommodation</t>
  </si>
  <si>
    <t>NACE_I5590</t>
  </si>
  <si>
    <t>I - 56 Food and beverage service activities</t>
  </si>
  <si>
    <t>NACE_I56</t>
  </si>
  <si>
    <t>I - 56.1 Restaurants and mobile food service activities</t>
  </si>
  <si>
    <t>NACE_I561</t>
  </si>
  <si>
    <t>I - 56.11 Restaurant activities</t>
  </si>
  <si>
    <t>NACE_I5611</t>
  </si>
  <si>
    <t>I - 56.12 Mobile food service activities</t>
  </si>
  <si>
    <t>NACE_I5612</t>
  </si>
  <si>
    <t>I - 56.2 Event catering, contract catering service activities and other food service activities</t>
  </si>
  <si>
    <t>NACE_I562</t>
  </si>
  <si>
    <t>I - 56.21 Event catering activities</t>
  </si>
  <si>
    <t>NACE_I5621</t>
  </si>
  <si>
    <t>I - 56.22 Contract catering service activities and other food service activities</t>
  </si>
  <si>
    <t>NACE_I5622</t>
  </si>
  <si>
    <t>I - 56.3 Beverage serving activities</t>
  </si>
  <si>
    <t>NACE_I563</t>
  </si>
  <si>
    <t>I - 56.30 Beverage serving activities</t>
  </si>
  <si>
    <t>NACE_I5630</t>
  </si>
  <si>
    <t>I - 56.4 Intermediation service activities for food and beverage services activities</t>
  </si>
  <si>
    <t>NACE_I564</t>
  </si>
  <si>
    <t>I - 56.40 Intermediation service activities for food and beverage services activities</t>
  </si>
  <si>
    <t>NACE_I5640</t>
  </si>
  <si>
    <t>J - PUBLISHING, BROADCASTING, AND CONTENT PRODUCTION AND DISTRIBUTION ACTIVITIES</t>
  </si>
  <si>
    <t>NACE_J</t>
  </si>
  <si>
    <t>J - 58 Publishing activities</t>
  </si>
  <si>
    <t>NACE_J58</t>
  </si>
  <si>
    <t>J - 58.1 Publishing of books, newspapers and other publishing activities, except software publishing</t>
  </si>
  <si>
    <t>NACE_J581</t>
  </si>
  <si>
    <t>J - 58.11 Publishing of books</t>
  </si>
  <si>
    <t>NACE_J5811</t>
  </si>
  <si>
    <t>J - 58.12 Publishing of newspapers</t>
  </si>
  <si>
    <t>NACE_J5812</t>
  </si>
  <si>
    <t>J - 58.13 Publishing of journals and periodicals</t>
  </si>
  <si>
    <t>NACE_J5813</t>
  </si>
  <si>
    <t>J - 58.19 Other publishing activities, except software publishing</t>
  </si>
  <si>
    <t>NACE_J5819</t>
  </si>
  <si>
    <t>J - 58.2 Software publishing</t>
  </si>
  <si>
    <t>NACE_J582</t>
  </si>
  <si>
    <t>J - 58.21 Publishing of video games</t>
  </si>
  <si>
    <t>NACE_J5821</t>
  </si>
  <si>
    <t>J - 58.29 Other software publishing</t>
  </si>
  <si>
    <t>NACE_J5829</t>
  </si>
  <si>
    <t>J - 59 Motion picture, video and television programme production, sound recording and music publishing activities</t>
  </si>
  <si>
    <t>NACE_J59</t>
  </si>
  <si>
    <t>J - 59.1 Motion picture, video and television programme activities</t>
  </si>
  <si>
    <t>NACE_J591</t>
  </si>
  <si>
    <t>J - 59.11 Motion picture, video and television programme production activities</t>
  </si>
  <si>
    <t>NACE_J5911</t>
  </si>
  <si>
    <t>J - 59.12 Motion picture, video and television programme post-production activities</t>
  </si>
  <si>
    <t>NACE_J5912</t>
  </si>
  <si>
    <t>J - 59.13 Motion picture and video distribution activities</t>
  </si>
  <si>
    <t>NACE_J5913</t>
  </si>
  <si>
    <t>J - 59.14 Motion picture projection activities</t>
  </si>
  <si>
    <t>NACE_J5914</t>
  </si>
  <si>
    <t>J - 59.2 Sound recording and music publishing activities</t>
  </si>
  <si>
    <t>NACE_J592</t>
  </si>
  <si>
    <t>J - 59.20 Sound recording and music publishing activities</t>
  </si>
  <si>
    <t>NACE_J5920</t>
  </si>
  <si>
    <t>J - 60 Programming, broadcasting, news agency and other content distribution activities</t>
  </si>
  <si>
    <t>NACE_J60</t>
  </si>
  <si>
    <t>J - 60.1 Radio broadcasting and audio distribution activities</t>
  </si>
  <si>
    <t>NACE_J601</t>
  </si>
  <si>
    <t>J - 60.10 Radio broadcasting and audio distribution activities</t>
  </si>
  <si>
    <t>NACE_J6010</t>
  </si>
  <si>
    <t>J - 60.2 Television programming, broadcasting and video distribution activities</t>
  </si>
  <si>
    <t>NACE_J602</t>
  </si>
  <si>
    <t>J - 60.20 Television programming, broadcasting and video distribution activities</t>
  </si>
  <si>
    <t>NACE_J6020</t>
  </si>
  <si>
    <t>J - 60.3 News agency and other content distribution activities</t>
  </si>
  <si>
    <t>NACE_J603</t>
  </si>
  <si>
    <t>J - 60.31 News agency activities</t>
  </si>
  <si>
    <t>NACE_J6031</t>
  </si>
  <si>
    <t>J - 60.39 Other content distribution activities</t>
  </si>
  <si>
    <t>NACE_J6039</t>
  </si>
  <si>
    <t>K - TELECOMMUNICATION, COMPUTER PROGRAMMING, CONSULTING, COMPUTING INFRASTRUCTURE AND OTHER INFORMATION SERVICE ACTIVITIES</t>
  </si>
  <si>
    <t>NACE_K</t>
  </si>
  <si>
    <t>K - 61 Telecommunication</t>
  </si>
  <si>
    <t>NACE_K61</t>
  </si>
  <si>
    <t>K - 61.1 Wired, wireless, and satellite telecommunication activities</t>
  </si>
  <si>
    <t>NACE_K611</t>
  </si>
  <si>
    <t>K - 61.10 Wired, wireless, and satellite telecommunication activities</t>
  </si>
  <si>
    <t>NACE_K6110</t>
  </si>
  <si>
    <t>K - 61.2 Telecommunication reselling activities and intermediation service activities for telecommunication</t>
  </si>
  <si>
    <t>NACE_K612</t>
  </si>
  <si>
    <t>K - 61.20 Telecommunication reselling activities and intermediation service activities for telecommunication</t>
  </si>
  <si>
    <t>NACE_K6120</t>
  </si>
  <si>
    <t>K - 61.9 Other telecommunication activities</t>
  </si>
  <si>
    <t>NACE_K619</t>
  </si>
  <si>
    <t>K - 61.90 Other telecommunication activities</t>
  </si>
  <si>
    <t>NACE_K6190</t>
  </si>
  <si>
    <t>K - 62 Computer programming, consultancy and related activities</t>
  </si>
  <si>
    <t>NACE_K62</t>
  </si>
  <si>
    <t>K - 62.1 Computer programming activities</t>
  </si>
  <si>
    <t>NACE_K621</t>
  </si>
  <si>
    <t>K - 62.10 Computer programming activities</t>
  </si>
  <si>
    <t>NACE_K6210</t>
  </si>
  <si>
    <t>K - 62.2 Computer consultancy and computer facilities management activities</t>
  </si>
  <si>
    <t>NACE_K622</t>
  </si>
  <si>
    <t>K - 62.20 Computer consultancy and computer facilities management activities</t>
  </si>
  <si>
    <t>NACE_K6220</t>
  </si>
  <si>
    <t>K - 62.9 Other information technology and computer service activities</t>
  </si>
  <si>
    <t>NACE_K629</t>
  </si>
  <si>
    <t>K - 62.90 Other information technology and computer service activities</t>
  </si>
  <si>
    <t>NACE_K6290</t>
  </si>
  <si>
    <t>K - 63 Computing infrastructure, data processing, hosting and other information service activities</t>
  </si>
  <si>
    <t>NACE_K63</t>
  </si>
  <si>
    <t>K - 63.1 Computing infrastructure, data processing, hosting and related activities</t>
  </si>
  <si>
    <t>NACE_K631</t>
  </si>
  <si>
    <t>K - 63.10 Computing infrastructure, data processing, hosting and related activities</t>
  </si>
  <si>
    <t>NACE_K6310</t>
  </si>
  <si>
    <t>K - 63.9 Web search portal activities and other information service activities</t>
  </si>
  <si>
    <t>NACE_K639</t>
  </si>
  <si>
    <t>K - 63.91 Web search portal activities</t>
  </si>
  <si>
    <t>NACE_K6391</t>
  </si>
  <si>
    <t>K - 63.92 Other information service activities</t>
  </si>
  <si>
    <t>NACE_K6392</t>
  </si>
  <si>
    <t>L - FINANCIAL AND INSURANCE ACTIVITIES</t>
  </si>
  <si>
    <t>NACE_L</t>
  </si>
  <si>
    <t>L - 64 Financial service activities, except insurance and pension funding</t>
  </si>
  <si>
    <t>NACE_L64</t>
  </si>
  <si>
    <t>L - 64.1 Monetary intermediation</t>
  </si>
  <si>
    <t>NACE_L641</t>
  </si>
  <si>
    <t>L - 64.11 Central banking</t>
  </si>
  <si>
    <t>NACE_L6411</t>
  </si>
  <si>
    <t>L - 64.19 Other monetary intermediation</t>
  </si>
  <si>
    <t>NACE_L6419</t>
  </si>
  <si>
    <t>L - 64.2 Activities of holding companies and financing conduits</t>
  </si>
  <si>
    <t>NACE_L642</t>
  </si>
  <si>
    <t>L - 64.21 Activities of holding companies</t>
  </si>
  <si>
    <t>NACE_L6421</t>
  </si>
  <si>
    <t>L - 64.22 Activities of financing conduits</t>
  </si>
  <si>
    <t>NACE_L6422</t>
  </si>
  <si>
    <t>L - 64.3 Activities of trusts, funds and similar financial entities</t>
  </si>
  <si>
    <t>NACE_L643</t>
  </si>
  <si>
    <t>L - 64.31 Activities of money market and non-money market investments funds</t>
  </si>
  <si>
    <t>NACE_L6431</t>
  </si>
  <si>
    <t>L - 64.32 Activities of trust, estate and agency accounts</t>
  </si>
  <si>
    <t>NACE_L6432</t>
  </si>
  <si>
    <t>L - 64.9 Other financial service activities, except insurance and pension funding</t>
  </si>
  <si>
    <t>NACE_L649</t>
  </si>
  <si>
    <t>L - 64.91 Financial leasing</t>
  </si>
  <si>
    <t>NACE_L6491</t>
  </si>
  <si>
    <t>L - 64.92 Other credit granting</t>
  </si>
  <si>
    <t>NACE_L6492</t>
  </si>
  <si>
    <t>L - 64.99 Other financial service activities, except insurance and pension funding n.e.c.</t>
  </si>
  <si>
    <t>NACE_L6499</t>
  </si>
  <si>
    <t>L - 65 Insurance, reinsurance and pension funding, except compulsory social security</t>
  </si>
  <si>
    <t>NACE_L65</t>
  </si>
  <si>
    <t>L - 65.1 Insurance</t>
  </si>
  <si>
    <t>NACE_L651</t>
  </si>
  <si>
    <t>L - 65.11 Life insurance</t>
  </si>
  <si>
    <t>NACE_L6511</t>
  </si>
  <si>
    <t>L - 65.12 Non-life insurance</t>
  </si>
  <si>
    <t>NACE_L6512</t>
  </si>
  <si>
    <t>L - 65.2 Reinsurance</t>
  </si>
  <si>
    <t>NACE_L652</t>
  </si>
  <si>
    <t>L - 65.20 Reinsurance</t>
  </si>
  <si>
    <t>NACE_L6520</t>
  </si>
  <si>
    <t>L - 65.3 Pension funding</t>
  </si>
  <si>
    <t>NACE_L653</t>
  </si>
  <si>
    <t>L - 65.30 Pension funding</t>
  </si>
  <si>
    <t>NACE_L6530</t>
  </si>
  <si>
    <t>L - 66 Activities auxiliary to financial services and insurance activities</t>
  </si>
  <si>
    <t>NACE_L66</t>
  </si>
  <si>
    <t>L - 66.1 Activities auxiliary to financial services, except insurance and pension funding</t>
  </si>
  <si>
    <t>NACE_L661</t>
  </si>
  <si>
    <t>L - 66.11 Administration of financial markets</t>
  </si>
  <si>
    <t>NACE_L6611</t>
  </si>
  <si>
    <t>L - 66.12 Security and commodity contracts brokerage</t>
  </si>
  <si>
    <t>NACE_L6612</t>
  </si>
  <si>
    <t>L - 66.19 Other activities auxiliary to financial services, except insurance and pension funding</t>
  </si>
  <si>
    <t>NACE_L6619</t>
  </si>
  <si>
    <t>L - 66.2 Activities auxiliary to insurance and pension funding</t>
  </si>
  <si>
    <t>NACE_L662</t>
  </si>
  <si>
    <t>L - 66.21 Risk and damage evaluation</t>
  </si>
  <si>
    <t>NACE_L6621</t>
  </si>
  <si>
    <t>L - 66.22 Activities of insurance agents and brokers</t>
  </si>
  <si>
    <t>NACE_L6622</t>
  </si>
  <si>
    <t>L - 66.29 Activities auxiliary to insurance and pension funding n.e.c.</t>
  </si>
  <si>
    <t>NACE_L6629</t>
  </si>
  <si>
    <t>L - 66.3 Fund management activities</t>
  </si>
  <si>
    <t>NACE_L663</t>
  </si>
  <si>
    <t>L - 66.30 Fund management activities</t>
  </si>
  <si>
    <t>NACE_L6630</t>
  </si>
  <si>
    <t>M - REAL ESTATE ACTIVITIES</t>
  </si>
  <si>
    <t>NACE_M</t>
  </si>
  <si>
    <t>M - 68 Real estate activities</t>
  </si>
  <si>
    <t>NACE_M68</t>
  </si>
  <si>
    <t>M - 68.1 Real estate activities with own property and development of building projects</t>
  </si>
  <si>
    <t>NACE_M681</t>
  </si>
  <si>
    <t>M - 68.11 Buying and selling of own real estate</t>
  </si>
  <si>
    <t>NACE_M6811</t>
  </si>
  <si>
    <t>M - 68.12 Development of building projects</t>
  </si>
  <si>
    <t>NACE_M6812</t>
  </si>
  <si>
    <t>M - 68.2 Rental and operating of own or leased real estate</t>
  </si>
  <si>
    <t>NACE_M682</t>
  </si>
  <si>
    <t>M - 68.20 Rental and operating of own or leased real estate</t>
  </si>
  <si>
    <t>NACE_M6820</t>
  </si>
  <si>
    <t>M - 68.3 Real estate activities on a fee or contract basis</t>
  </si>
  <si>
    <t>NACE_M683</t>
  </si>
  <si>
    <t>M - 68.31 Intermediation service activities for real estate activities</t>
  </si>
  <si>
    <t>NACE_M6831</t>
  </si>
  <si>
    <t>M - 68.32 Other real estate activities on a fee or contract basis</t>
  </si>
  <si>
    <t>NACE_M6832</t>
  </si>
  <si>
    <t>N - PROFESSIONAL, SCIENTIFIC AND TECHNICAL ACTIVITIES</t>
  </si>
  <si>
    <t>NACE_N</t>
  </si>
  <si>
    <t>N - 69 Legal and accounting activities</t>
  </si>
  <si>
    <t>NACE_N69</t>
  </si>
  <si>
    <t>N - 69.1 Legal activities</t>
  </si>
  <si>
    <t>NACE_N691</t>
  </si>
  <si>
    <t>N - 69.10 Legal activities</t>
  </si>
  <si>
    <t>NACE_N6910</t>
  </si>
  <si>
    <t>N - 69.2 Accounting, bookkeeping and auditing activities; tax consultancy</t>
  </si>
  <si>
    <t>NACE_N692</t>
  </si>
  <si>
    <t>N - 69.20 Accounting, bookkeeping and auditing activities; tax consultancy</t>
  </si>
  <si>
    <t>NACE_N6920</t>
  </si>
  <si>
    <t>N - 70 Activities of head offices and management consultancy</t>
  </si>
  <si>
    <t>NACE_N70</t>
  </si>
  <si>
    <t>N - 70.1 Activities of head offices</t>
  </si>
  <si>
    <t>NACE_N701</t>
  </si>
  <si>
    <t>N - 70.10 Activities of head offices</t>
  </si>
  <si>
    <t>NACE_N7010</t>
  </si>
  <si>
    <t>N - 70.2 Business and other management consultancy activities</t>
  </si>
  <si>
    <t>NACE_N702</t>
  </si>
  <si>
    <t>N - 70.20 Business and other management consultancy activities</t>
  </si>
  <si>
    <t>NACE_N7020</t>
  </si>
  <si>
    <t>N - 71 Architectural and engineering activities; technical testing and analysis</t>
  </si>
  <si>
    <t>NACE_N71</t>
  </si>
  <si>
    <t>N - 71.1 Architectural and engineering activities and related technical consultancy</t>
  </si>
  <si>
    <t>NACE_N711</t>
  </si>
  <si>
    <t>N - 71.11 Architectural activities</t>
  </si>
  <si>
    <t>NACE_N7111</t>
  </si>
  <si>
    <t>N - 71.12 Engineering activities and related technical consultancy</t>
  </si>
  <si>
    <t>NACE_N7112</t>
  </si>
  <si>
    <t>N - 71.2 Technical testing and analysis</t>
  </si>
  <si>
    <t>NACE_N712</t>
  </si>
  <si>
    <t>N - 71.20 Technical testing and analysis</t>
  </si>
  <si>
    <t>NACE_N7120</t>
  </si>
  <si>
    <t>N - 72 Scientific research and development</t>
  </si>
  <si>
    <t>NACE_N72</t>
  </si>
  <si>
    <t>N - 72.1 Research and experimental development on natural sciences and engineering</t>
  </si>
  <si>
    <t>NACE_N721</t>
  </si>
  <si>
    <t>N - 72.10 Research and experimental development on natural sciences and engineering</t>
  </si>
  <si>
    <t>NACE_N7210</t>
  </si>
  <si>
    <t>N - 72.2 Research and experimental development on social sciences and humanities</t>
  </si>
  <si>
    <t>NACE_N722</t>
  </si>
  <si>
    <t>N - 72.20 Research and experimental development on social sciences and humanities</t>
  </si>
  <si>
    <t>NACE_N7220</t>
  </si>
  <si>
    <t>N - 73 Activities of advertising, market research and public relations</t>
  </si>
  <si>
    <t>NACE_N73</t>
  </si>
  <si>
    <t>N - 73.1 Advertising</t>
  </si>
  <si>
    <t>NACE_N731</t>
  </si>
  <si>
    <t>N - 73.11 Activities of advertising agencies</t>
  </si>
  <si>
    <t>NACE_N7311</t>
  </si>
  <si>
    <t>N - 73.12 Media representation</t>
  </si>
  <si>
    <t>NACE_N7312</t>
  </si>
  <si>
    <t>N - 73.2 Market research and public opinion polling</t>
  </si>
  <si>
    <t>NACE_N732</t>
  </si>
  <si>
    <t>N - 73.20 Market research and public opinion polling</t>
  </si>
  <si>
    <t>NACE_N7320</t>
  </si>
  <si>
    <t>N - 73.3 Public relations and communication activities</t>
  </si>
  <si>
    <t>NACE_N733</t>
  </si>
  <si>
    <t>N - 73.30 Public relations and communication activities</t>
  </si>
  <si>
    <t>NACE_N7330</t>
  </si>
  <si>
    <t>N - 74 Other professional, scientific and technical activities</t>
  </si>
  <si>
    <t>NACE_N74</t>
  </si>
  <si>
    <t>N - 74.1 Specialised design activities</t>
  </si>
  <si>
    <t>NACE_N741</t>
  </si>
  <si>
    <t>N - 74.11 Industrial product and fashion design activities</t>
  </si>
  <si>
    <t>NACE_N7411</t>
  </si>
  <si>
    <t>N - 74.12 Graphic design and visual communication activities</t>
  </si>
  <si>
    <t>NACE_N7412</t>
  </si>
  <si>
    <t>N - 74.13 Interior design activities</t>
  </si>
  <si>
    <t>NACE_N7413</t>
  </si>
  <si>
    <t>N - 74.14 Other specialised design activities</t>
  </si>
  <si>
    <t>NACE_N7414</t>
  </si>
  <si>
    <t>N - 74.2 Photographic activities</t>
  </si>
  <si>
    <t>NACE_N742</t>
  </si>
  <si>
    <t>N - 74.20 Photographic activities</t>
  </si>
  <si>
    <t>NACE_N7420</t>
  </si>
  <si>
    <t>N - 74.3 Translation and interpretation activities</t>
  </si>
  <si>
    <t>NACE_N743</t>
  </si>
  <si>
    <t>N - 74.30 Translation and interpretation activities</t>
  </si>
  <si>
    <t>NACE_N7430</t>
  </si>
  <si>
    <t>N - 74.9 Other professional, scientific and technical activities n.e.c.</t>
  </si>
  <si>
    <t>NACE_N749</t>
  </si>
  <si>
    <t>N - 74.91 Patent brokering and marketing service activities</t>
  </si>
  <si>
    <t>NACE_N7491</t>
  </si>
  <si>
    <t>N - 74.99 All other professional, scientific and technical activities n.e.c.</t>
  </si>
  <si>
    <t>NACE_N7499</t>
  </si>
  <si>
    <t>N - 75 Veterinary activities</t>
  </si>
  <si>
    <t>NACE_N75</t>
  </si>
  <si>
    <t>N - 75.0 Veterinary activities</t>
  </si>
  <si>
    <t>NACE_N750</t>
  </si>
  <si>
    <t>N - 75.00 Veterinary activities</t>
  </si>
  <si>
    <t>NACE_N7500</t>
  </si>
  <si>
    <t>O - ADMINISTRATIVE AND SUPPORT SERVICE ACTIVITIES</t>
  </si>
  <si>
    <t>NACE_O</t>
  </si>
  <si>
    <t>O - 77 Rental and leasing activities</t>
  </si>
  <si>
    <t>NACE_O77</t>
  </si>
  <si>
    <t>O - 77.1 Rental and leasing of motor vehicles</t>
  </si>
  <si>
    <t>NACE_O771</t>
  </si>
  <si>
    <t>O - 77.11 Rental and leasing of cars and light motor vehicles</t>
  </si>
  <si>
    <t>NACE_O7711</t>
  </si>
  <si>
    <t>O - 77.12 Rental and leasing of trucks</t>
  </si>
  <si>
    <t>NACE_O7712</t>
  </si>
  <si>
    <t>O - 77.2 Rental and leasing of personal and household goods</t>
  </si>
  <si>
    <t>NACE_O772</t>
  </si>
  <si>
    <t>O - 77.21 Rental and leasing of recreational and sports goods</t>
  </si>
  <si>
    <t>NACE_O7721</t>
  </si>
  <si>
    <t>O - 77.22 Rental and leasing of other personal and household goods</t>
  </si>
  <si>
    <t>NACE_O7722</t>
  </si>
  <si>
    <t>O - 77.3 Rental and leasing of other machinery, equipment and tangible goods</t>
  </si>
  <si>
    <t>NACE_O773</t>
  </si>
  <si>
    <t>O - 77.31 Rental and leasing of agricultural machinery and equipment</t>
  </si>
  <si>
    <t>NACE_O7731</t>
  </si>
  <si>
    <t>O - 77.32 Rental and leasing of construction and civil engineering machinery and equipment</t>
  </si>
  <si>
    <t>NACE_O7732</t>
  </si>
  <si>
    <t>O - 77.33 Rental and leasing of office machinery, equipment and computers</t>
  </si>
  <si>
    <t>NACE_O7733</t>
  </si>
  <si>
    <t>O - 77.34 Rental and leasing of water transport equipment</t>
  </si>
  <si>
    <t>NACE_O7734</t>
  </si>
  <si>
    <t>O - 77.35 Rental and leasing of air transport equipment</t>
  </si>
  <si>
    <t>NACE_O7735</t>
  </si>
  <si>
    <t>O - 77.39 Rental and leasing of other machinery, equipment and tangible goods n.e.c.</t>
  </si>
  <si>
    <t>NACE_O7739</t>
  </si>
  <si>
    <t>O - 77.4 Leasing of intellectual property and similar products, except copyrighted works</t>
  </si>
  <si>
    <t>NACE_O774</t>
  </si>
  <si>
    <t>O - 77.40 Leasing of intellectual property and similar products, except copyrighted works</t>
  </si>
  <si>
    <t>NACE_O7740</t>
  </si>
  <si>
    <t>O - 77.5 Intermediation service activities for rental and leasing of tangible goods and non-financial intangible assets</t>
  </si>
  <si>
    <t>NACE_O775</t>
  </si>
  <si>
    <t>O - 77.51 Intermediation service activities for rental and leasing of cars, motorhomes and trailers</t>
  </si>
  <si>
    <t>NACE_O7751</t>
  </si>
  <si>
    <t>O - 77.52 Intermediation service activities for rental and leasing of other tangible goods and non-financial intangible assets</t>
  </si>
  <si>
    <t>NACE_O7752</t>
  </si>
  <si>
    <t>O - 78 Employment activities</t>
  </si>
  <si>
    <t>NACE_O78</t>
  </si>
  <si>
    <t>O - 78.1 Activities of employment placement agencies</t>
  </si>
  <si>
    <t>NACE_O781</t>
  </si>
  <si>
    <t>O - 78.10 Activities of employment placement agencies</t>
  </si>
  <si>
    <t>NACE_O7810</t>
  </si>
  <si>
    <t>O - 78.2 Temporary employment agency activities and other human resource provisions</t>
  </si>
  <si>
    <t>NACE_O782</t>
  </si>
  <si>
    <t>O - 78.20 Temporary employment agency activities and other human resource provisions</t>
  </si>
  <si>
    <t>NACE_O7820</t>
  </si>
  <si>
    <t>O - 79 Travel agency, tour operator and other reservation service and related activities</t>
  </si>
  <si>
    <t>NACE_O79</t>
  </si>
  <si>
    <t>O - 79.1 Travel agency and tour operator activities</t>
  </si>
  <si>
    <t>NACE_O791</t>
  </si>
  <si>
    <t>O - 79.11 Travel agency activities</t>
  </si>
  <si>
    <t>NACE_O7911</t>
  </si>
  <si>
    <t>O - 79.12 Tour operator activities</t>
  </si>
  <si>
    <t>NACE_O7912</t>
  </si>
  <si>
    <t>O - 79.9 Other reservation service and related activities</t>
  </si>
  <si>
    <t>NACE_O799</t>
  </si>
  <si>
    <t>O - 79.90 Other reservation service and related activities</t>
  </si>
  <si>
    <t>NACE_O7990</t>
  </si>
  <si>
    <t>O - 80 Investigation and security activities</t>
  </si>
  <si>
    <t>NACE_O80</t>
  </si>
  <si>
    <t>O - 80.0 Investigation and security activities</t>
  </si>
  <si>
    <t>NACE_O800</t>
  </si>
  <si>
    <t>O - 80.01 Investigation and private security activities</t>
  </si>
  <si>
    <t>NACE_O8001</t>
  </si>
  <si>
    <t>O - 80.09 Security activities n.e.c.</t>
  </si>
  <si>
    <t>NACE_O8009</t>
  </si>
  <si>
    <t>O - 81 Services to buildings and landscape activities</t>
  </si>
  <si>
    <t>NACE_O81</t>
  </si>
  <si>
    <t>O - 81.1 Combined facilities support activities</t>
  </si>
  <si>
    <t>NACE_O811</t>
  </si>
  <si>
    <t>O - 81.10 Combined facilities support activities</t>
  </si>
  <si>
    <t>NACE_O8110</t>
  </si>
  <si>
    <t>O - 81.2 Cleaning activities</t>
  </si>
  <si>
    <t>NACE_O812</t>
  </si>
  <si>
    <t>O - 81.21 General cleaning of buildings</t>
  </si>
  <si>
    <t>NACE_O8121</t>
  </si>
  <si>
    <t>O - 81.22 Other building and industrial cleaning activities</t>
  </si>
  <si>
    <t>NACE_O8122</t>
  </si>
  <si>
    <t>O - 81.23 Other cleaning activities</t>
  </si>
  <si>
    <t>NACE_O8123</t>
  </si>
  <si>
    <t>O - 81.3 Landscape service activities</t>
  </si>
  <si>
    <t>NACE_O813</t>
  </si>
  <si>
    <t>O - 81.30 Landscape service activities</t>
  </si>
  <si>
    <t>NACE_O8130</t>
  </si>
  <si>
    <t>O - 82 Office administrative, office support and other business support activities</t>
  </si>
  <si>
    <t>NACE_O82</t>
  </si>
  <si>
    <t>O - 82.1 Office administrative and support activities</t>
  </si>
  <si>
    <t>NACE_O821</t>
  </si>
  <si>
    <t>O - 82.10 Office administrative and support activities</t>
  </si>
  <si>
    <t>NACE_O8210</t>
  </si>
  <si>
    <t>O - 82.2 Activities of call centres</t>
  </si>
  <si>
    <t>NACE_O822</t>
  </si>
  <si>
    <t>O - 82.20 Activities of call centres</t>
  </si>
  <si>
    <t>NACE_O8220</t>
  </si>
  <si>
    <t>O - 82.3 Organisation of conventions and trade shows</t>
  </si>
  <si>
    <t>NACE_O823</t>
  </si>
  <si>
    <t>O - 82.30 Organisation of conventions and trade shows</t>
  </si>
  <si>
    <t>NACE_O8230</t>
  </si>
  <si>
    <t>O - 82.4 Intermediation service activities for business support service activities n.e.c.</t>
  </si>
  <si>
    <t>NACE_O824</t>
  </si>
  <si>
    <t>O - 82.40 Intermediation service activities for business support service activities n.e.c.</t>
  </si>
  <si>
    <t>NACE_O8240</t>
  </si>
  <si>
    <t>O - 82.9 Business support service activities n.e.c.</t>
  </si>
  <si>
    <t>NACE_O829</t>
  </si>
  <si>
    <t>O - 82.91 Activities of collection agencies and credit bureaus</t>
  </si>
  <si>
    <t>NACE_O8291</t>
  </si>
  <si>
    <t>O - 82.92 Packaging activities</t>
  </si>
  <si>
    <t>NACE_O8292</t>
  </si>
  <si>
    <t>O - 82.99 Other business support service activities n.e.c.</t>
  </si>
  <si>
    <t>NACE_O8299</t>
  </si>
  <si>
    <t>P - PUBLIC ADMINISTRATION AND DEFENCE; COMPULSORY SOCIAL SECURITY</t>
  </si>
  <si>
    <t>NACE_P</t>
  </si>
  <si>
    <t>P - 84 Public administration and defence; compulsory social security</t>
  </si>
  <si>
    <t>NACE_P84</t>
  </si>
  <si>
    <t>P - 84.1 Administration of the State and the economic, social and environmental policies of the community</t>
  </si>
  <si>
    <t>NACE_P841</t>
  </si>
  <si>
    <t>P - 84.11 General public administration activities</t>
  </si>
  <si>
    <t>NACE_P8411</t>
  </si>
  <si>
    <t>P - 84.12 Regulation of health care, education, cultural services and other social services</t>
  </si>
  <si>
    <t>NACE_P8412</t>
  </si>
  <si>
    <t>P - 84.13 Regulation of and contribution to more efficient operation of businesses</t>
  </si>
  <si>
    <t>NACE_P8413</t>
  </si>
  <si>
    <t>P - 84.2 Provision of services to the community as a whole</t>
  </si>
  <si>
    <t>NACE_P842</t>
  </si>
  <si>
    <t>P - 84.21 Foreign affairs</t>
  </si>
  <si>
    <t>NACE_P8421</t>
  </si>
  <si>
    <t>P - 84.22 Defence activities</t>
  </si>
  <si>
    <t>NACE_P8422</t>
  </si>
  <si>
    <t>P - 84.23 Justice and judicial activities</t>
  </si>
  <si>
    <t>NACE_P8423</t>
  </si>
  <si>
    <t>P - 84.24 Public order and safety activities</t>
  </si>
  <si>
    <t>NACE_P8424</t>
  </si>
  <si>
    <t>P - 84.25 Fire service activities</t>
  </si>
  <si>
    <t>NACE_P8425</t>
  </si>
  <si>
    <t>P - 84.3 Compulsory social security activities</t>
  </si>
  <si>
    <t>NACE_P843</t>
  </si>
  <si>
    <t>P - 84.30 Compulsory social security activities</t>
  </si>
  <si>
    <t>NACE_P8430</t>
  </si>
  <si>
    <t>Q - EDUCATION</t>
  </si>
  <si>
    <t>NACE_Q</t>
  </si>
  <si>
    <t>Q - 85 Education</t>
  </si>
  <si>
    <t>NACE_Q85</t>
  </si>
  <si>
    <t>Q - 85.1 Pre-primary education</t>
  </si>
  <si>
    <t>NACE_Q851</t>
  </si>
  <si>
    <t>Q - 85.10 Pre-primary education</t>
  </si>
  <si>
    <t>NACE_Q8510</t>
  </si>
  <si>
    <t>Q - 85.2 Primary education</t>
  </si>
  <si>
    <t>NACE_Q852</t>
  </si>
  <si>
    <t>Q - 85.20 Primary education</t>
  </si>
  <si>
    <t>NACE_Q8520</t>
  </si>
  <si>
    <t>Q - 85.3 Secondary and post-secondary non-tertiary education</t>
  </si>
  <si>
    <t>NACE_Q853</t>
  </si>
  <si>
    <t>Q - 85.31 General secondary education</t>
  </si>
  <si>
    <t>NACE_Q8531</t>
  </si>
  <si>
    <t>Q - 85.32 Vocational secondary education</t>
  </si>
  <si>
    <t>NACE_Q8532</t>
  </si>
  <si>
    <t>Q - 85.33 Post-secondary non-tertiary education</t>
  </si>
  <si>
    <t>NACE_Q8533</t>
  </si>
  <si>
    <t>Q - 85.4 Tertiary education</t>
  </si>
  <si>
    <t>NACE_Q854</t>
  </si>
  <si>
    <t>Q - 85.40 Tertiary education</t>
  </si>
  <si>
    <t>NACE_Q8540</t>
  </si>
  <si>
    <t>Q - 85.5 Other education</t>
  </si>
  <si>
    <t>NACE_Q855</t>
  </si>
  <si>
    <t>Q - 85.51 Sports and recreation education</t>
  </si>
  <si>
    <t>NACE_Q8551</t>
  </si>
  <si>
    <t>Q - 85.52 Cultural education</t>
  </si>
  <si>
    <t>NACE_Q8552</t>
  </si>
  <si>
    <t>Q - 85.53 Driving school activities</t>
  </si>
  <si>
    <t>NACE_Q8553</t>
  </si>
  <si>
    <t>Q - 85.59 Other education n.e.c.</t>
  </si>
  <si>
    <t>NACE_Q8559</t>
  </si>
  <si>
    <t>Q - 85.6 Educational support activities</t>
  </si>
  <si>
    <t>NACE_Q856</t>
  </si>
  <si>
    <t>Q - 85.61 Intermediation service activities for courses and tutors</t>
  </si>
  <si>
    <t>NACE_Q8561</t>
  </si>
  <si>
    <t>Q - 85.69 Educational support activities n.e.c.</t>
  </si>
  <si>
    <t>NACE_Q8569</t>
  </si>
  <si>
    <t>R - HUMAN HEALTH AND SOCIAL WORK ACTIVITIES</t>
  </si>
  <si>
    <t>NACE_R</t>
  </si>
  <si>
    <t>R - 86 Human health activities</t>
  </si>
  <si>
    <t>NACE_R86</t>
  </si>
  <si>
    <t>R - 86.1 Hospital activities</t>
  </si>
  <si>
    <t>NACE_R861</t>
  </si>
  <si>
    <t>R - 86.10 Hospital activities</t>
  </si>
  <si>
    <t>NACE_R8610</t>
  </si>
  <si>
    <t>R - 86.2 Medical and dental practice activities</t>
  </si>
  <si>
    <t>NACE_R862</t>
  </si>
  <si>
    <t>R - 86.21 General medical practice activities</t>
  </si>
  <si>
    <t>NACE_R8621</t>
  </si>
  <si>
    <t>R - 86.22 Medical specialists activities</t>
  </si>
  <si>
    <t>NACE_R8622</t>
  </si>
  <si>
    <t>R - 86.23 Dental practice care activities</t>
  </si>
  <si>
    <t>NACE_R8623</t>
  </si>
  <si>
    <t>R - 86.9 Other human health activities</t>
  </si>
  <si>
    <t>NACE_R869</t>
  </si>
  <si>
    <t>R - 86.91 Diagnostic imaging services and medical laboratory activities</t>
  </si>
  <si>
    <t>NACE_R8691</t>
  </si>
  <si>
    <t>R - 86.92 Patient transportation by ambulance</t>
  </si>
  <si>
    <t>NACE_R8692</t>
  </si>
  <si>
    <t>R - 86.93 Activities of psychologists and psychotherapists, except medical doctors</t>
  </si>
  <si>
    <t>NACE_R8693</t>
  </si>
  <si>
    <t>R - 86.94 Nursing and midwifery activities</t>
  </si>
  <si>
    <t>NACE_R8694</t>
  </si>
  <si>
    <t>R - 86.95 Physiotherapy activities</t>
  </si>
  <si>
    <t>NACE_R8695</t>
  </si>
  <si>
    <t>R - 86.96 Traditional, complementary and alternative medicine activities</t>
  </si>
  <si>
    <t>NACE_R8696</t>
  </si>
  <si>
    <t>R - 86.97 Intermediation service activities for medical, dental and other human health services</t>
  </si>
  <si>
    <t>NACE_R8697</t>
  </si>
  <si>
    <t>R - 86.99 Other human health activities n.e.c.</t>
  </si>
  <si>
    <t>NACE_R8699</t>
  </si>
  <si>
    <t>R - 87 Residential care activities</t>
  </si>
  <si>
    <t>NACE_R87</t>
  </si>
  <si>
    <t>R - 87.1 Residential nursing care activities</t>
  </si>
  <si>
    <t>NACE_R871</t>
  </si>
  <si>
    <t>R - 87.10 Residential nursing care activities</t>
  </si>
  <si>
    <t>NACE_R8710</t>
  </si>
  <si>
    <t>R - 87.2 Residential care activities for persons living with or having a diagnosis of a mental illness or substance abuse</t>
  </si>
  <si>
    <t>NACE_R872</t>
  </si>
  <si>
    <t>R - 87.20 Residential care activities for persons living with or having a diagnosis of a mental illness or substance abuse</t>
  </si>
  <si>
    <t>NACE_R8720</t>
  </si>
  <si>
    <t>R - 87.3 Residential care activities for older persons or persons with physical disabilities</t>
  </si>
  <si>
    <t>NACE_R873</t>
  </si>
  <si>
    <t>R - 87.30 Residential care activities for older persons or persons with physical disabilities</t>
  </si>
  <si>
    <t>NACE_R8730</t>
  </si>
  <si>
    <t>R - 87.9 Other residential care activities</t>
  </si>
  <si>
    <t>NACE_R879</t>
  </si>
  <si>
    <t>R - 87.91 Intermediation service activities for residential care activities</t>
  </si>
  <si>
    <t>NACE_R8791</t>
  </si>
  <si>
    <t>R - 87.99 Other residential care activities n.e.c.</t>
  </si>
  <si>
    <t>NACE_R8799</t>
  </si>
  <si>
    <t>R - 88 Social work activities without accommodation</t>
  </si>
  <si>
    <t>NACE_R88</t>
  </si>
  <si>
    <t>R - 88.1 Social work activities without accommodation for older persons or persons with disabilities</t>
  </si>
  <si>
    <t>NACE_R881</t>
  </si>
  <si>
    <t>R - 88.10 Social work activities without accommodation for older persons or persons with disabilities</t>
  </si>
  <si>
    <t>NACE_R8810</t>
  </si>
  <si>
    <t>R - 88.9 Other social work activities without accommodation</t>
  </si>
  <si>
    <t>NACE_R889</t>
  </si>
  <si>
    <t>R - 88.91 Child day-care activities</t>
  </si>
  <si>
    <t>NACE_R8891</t>
  </si>
  <si>
    <t>R - 88.99 Other social work activities without accommodation n.e.c.</t>
  </si>
  <si>
    <t>NACE_R8899</t>
  </si>
  <si>
    <t>S - ARTS, SPORTS AND RECREATION</t>
  </si>
  <si>
    <t>NACE_S</t>
  </si>
  <si>
    <t>S - 90 Arts creation and performing arts activities</t>
  </si>
  <si>
    <t>NACE_S90</t>
  </si>
  <si>
    <t>S - 90.1 Arts creation activities</t>
  </si>
  <si>
    <t>NACE_S901</t>
  </si>
  <si>
    <t>S - 90.11 Literary creation and musical composition activities</t>
  </si>
  <si>
    <t>NACE_S9011</t>
  </si>
  <si>
    <t>S - 90.12 Visual arts creation activities</t>
  </si>
  <si>
    <t>NACE_S9012</t>
  </si>
  <si>
    <t>S - 90.13 Other arts creation activities</t>
  </si>
  <si>
    <t>NACE_S9013</t>
  </si>
  <si>
    <t>S - 90.2 Activities of performing arts</t>
  </si>
  <si>
    <t>NACE_S902</t>
  </si>
  <si>
    <t>S - 90.20 Activities of performing arts</t>
  </si>
  <si>
    <t>NACE_S9020</t>
  </si>
  <si>
    <t>S - 90.3 Support activities to arts creation and performing arts</t>
  </si>
  <si>
    <t>NACE_S903</t>
  </si>
  <si>
    <t>S - 90.31 Operation of arts facilities and sites</t>
  </si>
  <si>
    <t>NACE_S9031</t>
  </si>
  <si>
    <t>S - 90.39 Other support activities to arts and performing arts</t>
  </si>
  <si>
    <t>NACE_S9039</t>
  </si>
  <si>
    <t>S - 91 Libraries, archives, museums and other cultural activities</t>
  </si>
  <si>
    <t>NACE_S91</t>
  </si>
  <si>
    <t>S - 91.1 Library and archive activities</t>
  </si>
  <si>
    <t>NACE_S911</t>
  </si>
  <si>
    <t>S - 91.11 Library activities</t>
  </si>
  <si>
    <t>NACE_S9111</t>
  </si>
  <si>
    <t>S - 91.12 Archive activities</t>
  </si>
  <si>
    <t>NACE_S9112</t>
  </si>
  <si>
    <t>S - 91.2 Museum, collection, historical site and monument activities</t>
  </si>
  <si>
    <t>NACE_S912</t>
  </si>
  <si>
    <t>S - 91.21 Museum and collection activities</t>
  </si>
  <si>
    <t>NACE_S9121</t>
  </si>
  <si>
    <t>S - 91.22 Historical site and monument activities</t>
  </si>
  <si>
    <t>NACE_S9122</t>
  </si>
  <si>
    <t>S - 91.3 Conservation, restoration and other support activities for cultural heritage</t>
  </si>
  <si>
    <t>NACE_S913</t>
  </si>
  <si>
    <t>S - 91.30 Conservation, restoration and other support activities for cultural heritage</t>
  </si>
  <si>
    <t>NACE_S9130</t>
  </si>
  <si>
    <t>S - 91.4 Botanical and zoological garden and nature reserve activities</t>
  </si>
  <si>
    <t>NACE_S914</t>
  </si>
  <si>
    <t>S - 91.41 Botanical and zoological garden activities</t>
  </si>
  <si>
    <t>NACE_S9141</t>
  </si>
  <si>
    <t>S - 91.42 Nature reserve activities</t>
  </si>
  <si>
    <t>NACE_S9142</t>
  </si>
  <si>
    <t>S - 92 Gambling and betting activities</t>
  </si>
  <si>
    <t>NACE_S92</t>
  </si>
  <si>
    <t>S - 92.0 Gambling and betting activities</t>
  </si>
  <si>
    <t>NACE_S920</t>
  </si>
  <si>
    <t>S - 92.00 Gambling and betting activities</t>
  </si>
  <si>
    <t>NACE_S9200</t>
  </si>
  <si>
    <t>S - 93 Sports activities and amusement and recreation activities</t>
  </si>
  <si>
    <t>NACE_S93</t>
  </si>
  <si>
    <t>S - 93.1 Sports activities</t>
  </si>
  <si>
    <t>NACE_S931</t>
  </si>
  <si>
    <t>S - 93.11 Operation of sports facilities</t>
  </si>
  <si>
    <t>NACE_S9311</t>
  </si>
  <si>
    <t>S - 93.12 Activities of sports clubs</t>
  </si>
  <si>
    <t>NACE_S9312</t>
  </si>
  <si>
    <t>S - 93.13 Activities of fitness centres</t>
  </si>
  <si>
    <t>NACE_S9313</t>
  </si>
  <si>
    <t>S - 93.19 Sports activities n.e.c.</t>
  </si>
  <si>
    <t>NACE_S9319</t>
  </si>
  <si>
    <t>S - 93.2 Amusement and recreation activities</t>
  </si>
  <si>
    <t>NACE_S932</t>
  </si>
  <si>
    <t>S - 93.21 Activities of amusement parks and theme parks</t>
  </si>
  <si>
    <t>NACE_S9321</t>
  </si>
  <si>
    <t>S - 93.29 Amusement and recreation activities n.e.c.</t>
  </si>
  <si>
    <t>NACE_S9329</t>
  </si>
  <si>
    <t>T - OTHER SERVICE ACTIVITIES</t>
  </si>
  <si>
    <t>NACE_T</t>
  </si>
  <si>
    <t>T - 94 Activities of membership organisations</t>
  </si>
  <si>
    <t>NACE_T94</t>
  </si>
  <si>
    <t>T - 94.1 Activities of business, employers and professional membership organisations</t>
  </si>
  <si>
    <t>NACE_T941</t>
  </si>
  <si>
    <t>T - 94.11 Activities of business and employers membership organisations</t>
  </si>
  <si>
    <t>NACE_T9411</t>
  </si>
  <si>
    <t>T - 94.12 Activities of professional membership organisations</t>
  </si>
  <si>
    <t>NACE_T9412</t>
  </si>
  <si>
    <t>T - 94.2 Activities of trade unions</t>
  </si>
  <si>
    <t>NACE_T942</t>
  </si>
  <si>
    <t>T - 94.20 Activities of trade unions</t>
  </si>
  <si>
    <t>NACE_T9420</t>
  </si>
  <si>
    <t>T - 94.9 Activities of other membership organisations</t>
  </si>
  <si>
    <t>NACE_T949</t>
  </si>
  <si>
    <t>T - 94.91 Activities of religious organisations</t>
  </si>
  <si>
    <t>NACE_T9491</t>
  </si>
  <si>
    <t>T - 94.92 Activities of political organisations</t>
  </si>
  <si>
    <t>NACE_T9492</t>
  </si>
  <si>
    <t>T - 94.99 Activities of other membership organisations n.e.c.</t>
  </si>
  <si>
    <t>NACE_T9499</t>
  </si>
  <si>
    <t>T - 95 Repair and maintenance of computers, personal and household goods, and motor vehicles and motorcycles</t>
  </si>
  <si>
    <t>NACE_T95</t>
  </si>
  <si>
    <t>T - 95.1 Repair and maintenance of computers and communication equipment</t>
  </si>
  <si>
    <t>NACE_T951</t>
  </si>
  <si>
    <t>T - 95.10 Repair and maintenance of computers and communication equipment</t>
  </si>
  <si>
    <t>NACE_T9510</t>
  </si>
  <si>
    <t>T - 95.2 Repair and maintenance of personal and household goods</t>
  </si>
  <si>
    <t>NACE_T952</t>
  </si>
  <si>
    <t>T - 95.21 Repair and maintenance of consumer electronics</t>
  </si>
  <si>
    <t>NACE_T9521</t>
  </si>
  <si>
    <t>T - 95.22 Repair and maintenance of household appliances and home and garden equipment</t>
  </si>
  <si>
    <t>NACE_T9522</t>
  </si>
  <si>
    <t>T - 95.23 Repair and maintenance of footwear and leather goods</t>
  </si>
  <si>
    <t>NACE_T9523</t>
  </si>
  <si>
    <t>T - 95.24 Repair and maintenance of furniture and home furnishings</t>
  </si>
  <si>
    <t>NACE_T9524</t>
  </si>
  <si>
    <t>T - 95.25 Repair and maintenance of watches, clocks and jewellery</t>
  </si>
  <si>
    <t>NACE_T9525</t>
  </si>
  <si>
    <t>T - 95.29 Repair and maintenance of personal and household goods n.e.c.</t>
  </si>
  <si>
    <t>NACE_T9529</t>
  </si>
  <si>
    <t>T - 95.3 Repair and maintenance of motor vehicles and motorcycles</t>
  </si>
  <si>
    <t>NACE_T953</t>
  </si>
  <si>
    <t>T - 95.31 Repair and maintenance of motor vehicles</t>
  </si>
  <si>
    <t>NACE_T9531</t>
  </si>
  <si>
    <t>T - 95.32 Repair and maintenance of motorcycles</t>
  </si>
  <si>
    <t>NACE_T9532</t>
  </si>
  <si>
    <t>T - 95.4 Intermediation service activities for repair and maintenance of computers, personal and household goods, and motor vehicles and motorcycles</t>
  </si>
  <si>
    <t>NACE_T954</t>
  </si>
  <si>
    <t>T - 95.40 Intermediation service activities for repair and maintenance of computers, personal and household goods, and motor vehicles and motorcycles</t>
  </si>
  <si>
    <t>NACE_T9540</t>
  </si>
  <si>
    <t>T - 96 Personal service activities</t>
  </si>
  <si>
    <t>NACE_T96</t>
  </si>
  <si>
    <t>T - 96.1 Washing and cleaning of textile and fur products</t>
  </si>
  <si>
    <t>NACE_T961</t>
  </si>
  <si>
    <t>T - 96.10 Washing and cleaning of textile and fur products</t>
  </si>
  <si>
    <t>NACE_T9610</t>
  </si>
  <si>
    <t>T - 96.2 Hairdressing, beauty treatment, day spa and similar activities</t>
  </si>
  <si>
    <t>NACE_T962</t>
  </si>
  <si>
    <t>T - 96.21 Hairdressing and barber activities</t>
  </si>
  <si>
    <t>NACE_T9621</t>
  </si>
  <si>
    <t>T - 96.22 Beauty care and other beauty treatment activities</t>
  </si>
  <si>
    <t>NACE_T9622</t>
  </si>
  <si>
    <t>T - 96.23 Day spa, sauna and steam bath activities</t>
  </si>
  <si>
    <t>NACE_T9623</t>
  </si>
  <si>
    <t>T - 96.3 Funeral and related activities</t>
  </si>
  <si>
    <t>NACE_T963</t>
  </si>
  <si>
    <t>T - 96.30 Funeral and related activities</t>
  </si>
  <si>
    <t>NACE_T9630</t>
  </si>
  <si>
    <t>T - 96.4 Intermediation service activities for personal services</t>
  </si>
  <si>
    <t>NACE_T964</t>
  </si>
  <si>
    <t>T - 96.40 Intermediation service activities for personal services</t>
  </si>
  <si>
    <t>NACE_T9640</t>
  </si>
  <si>
    <t>T - 96.9 Other personal service activities</t>
  </si>
  <si>
    <t>NACE_T969</t>
  </si>
  <si>
    <t>T - 96.91 Provision of domestic personal service activities</t>
  </si>
  <si>
    <t>NACE_T9691</t>
  </si>
  <si>
    <t>T - 96.99 Other personal service activities n.e.c.</t>
  </si>
  <si>
    <t>NACE_T9699</t>
  </si>
  <si>
    <t>U - ACTIVITIES OF HOUSEHOLDS AS EMPLOYERS AND UNDIFFERENTIATED GOODS – AND SERVICE-PRODUCING ACTIVITIES OF HOUSEHOLDS FOR OWN USE</t>
  </si>
  <si>
    <t>NACE_U</t>
  </si>
  <si>
    <t>U - 97 Activities of households as employers of domestic personnel</t>
  </si>
  <si>
    <t>NACE_U97</t>
  </si>
  <si>
    <t>U - 97.0 Activities of households as employers of domestic personnel</t>
  </si>
  <si>
    <t>NACE_U970</t>
  </si>
  <si>
    <t>U - 97.00 Activities of households as employers of domestic personnel</t>
  </si>
  <si>
    <t>NACE_U9700</t>
  </si>
  <si>
    <t>U - 98 Undifferentiated goods- and service-producing activities of private households for own use</t>
  </si>
  <si>
    <t>NACE_U98</t>
  </si>
  <si>
    <t>U - 98.1 Undifferentiated goods-producing activities of private households for own use</t>
  </si>
  <si>
    <t>NACE_U981</t>
  </si>
  <si>
    <t>U - 98.10 Undifferentiated goods-producing activities of private households for own use</t>
  </si>
  <si>
    <t>NACE_U9810</t>
  </si>
  <si>
    <t>U - 98.2 Undifferentiated service-producing activities of private households for own use</t>
  </si>
  <si>
    <t>NACE_U982</t>
  </si>
  <si>
    <t>U - 98.20 Undifferentiated service-producing activities of private households for own use</t>
  </si>
  <si>
    <t>NACE_U9820</t>
  </si>
  <si>
    <t>V - ACTIVITIES OF EXTRATERRITORIAL ORGANISATIONS AND BODIES</t>
  </si>
  <si>
    <t>NACE_V</t>
  </si>
  <si>
    <t>V - 99 Activities of extraterritorial organisations and bodies</t>
  </si>
  <si>
    <t>NACE_V99</t>
  </si>
  <si>
    <t>V - 99.0 Activities of extraterritorial organisations and bodies</t>
  </si>
  <si>
    <t>NACE_V990</t>
  </si>
  <si>
    <t>V - 99.00 Activities of extraterritorial organisations and bodies</t>
  </si>
  <si>
    <t>NACE_V9900</t>
  </si>
  <si>
    <t>Practice</t>
  </si>
  <si>
    <t>Policy</t>
  </si>
  <si>
    <t>Workers in the value chain</t>
  </si>
  <si>
    <t>NACE_AllEconomicActivitiesNAMembeB1r</t>
  </si>
  <si>
    <t>sole proprietorship</t>
  </si>
  <si>
    <t>NACE Technical Name</t>
  </si>
  <si>
    <t>None</t>
  </si>
  <si>
    <t>Axis</t>
  </si>
  <si>
    <t>Xylenes</t>
  </si>
  <si>
    <t>Vinyl chloride</t>
  </si>
  <si>
    <t>Triphenyltin and compounds</t>
  </si>
  <si>
    <t>Trifluralin</t>
  </si>
  <si>
    <t>Trichloromethane</t>
  </si>
  <si>
    <t>Trichloroethylene</t>
  </si>
  <si>
    <t>Trichlorobenzenes (TCBs) (all isomers)</t>
  </si>
  <si>
    <t>Tributyltin and compounds</t>
  </si>
  <si>
    <t>Toxaphene</t>
  </si>
  <si>
    <t>Total phosphorus</t>
  </si>
  <si>
    <t>Total nitrogen</t>
  </si>
  <si>
    <t>Toluene</t>
  </si>
  <si>
    <t>Tetrachloromethane (TCM)</t>
  </si>
  <si>
    <t>Tetrachloroethylene (PER)</t>
  </si>
  <si>
    <t>Sulphur oxides (SOx/SO2)</t>
  </si>
  <si>
    <t>Sulphur hexafluoride (SF6)</t>
  </si>
  <si>
    <t>Simazine</t>
  </si>
  <si>
    <t>Polycyclic aromatic hydrocarbons (PAHs)</t>
  </si>
  <si>
    <t>Polychlorinated biphenyls (PCBs)</t>
  </si>
  <si>
    <t>Perfluorooctanoic acid (PFOA) and its salts</t>
  </si>
  <si>
    <t>Perfluorohexane-1-sulfonic acid (PFHxS) and its salts</t>
  </si>
  <si>
    <t>Perfluorocarbons (PFCs)</t>
  </si>
  <si>
    <t>Pentachlorophenol (PCP)</t>
  </si>
  <si>
    <t>Pentachlorobenzene</t>
  </si>
  <si>
    <t>Octylphenols and Octylphenol ethoxylates</t>
  </si>
  <si>
    <t>Nonylphenol and Nonylphenol ethoxylates (NP/NPEs)</t>
  </si>
  <si>
    <t>Non-methane volatile organic compounds (NMVOC)</t>
  </si>
  <si>
    <t>Nitrous oxide (N2O)</t>
  </si>
  <si>
    <t>Nitrogen oxides (NOx/NO2)</t>
  </si>
  <si>
    <t>Naphthalene</t>
  </si>
  <si>
    <t>Mirex</t>
  </si>
  <si>
    <t>Methane (CH4)</t>
  </si>
  <si>
    <t>Lindane</t>
  </si>
  <si>
    <t>Isoproturon</t>
  </si>
  <si>
    <t>Isodrin</t>
  </si>
  <si>
    <t>Hydrogen cyanide (HCN)</t>
  </si>
  <si>
    <t>Hydro-fluorocarbons (HFCs)</t>
  </si>
  <si>
    <t>Hydrochlorofluorocarbons (HCFCs)</t>
  </si>
  <si>
    <t>Hexachlorobutadiene (HCBD)</t>
  </si>
  <si>
    <t>Hexachlorobenzene (HCB)</t>
  </si>
  <si>
    <t>Hexabromobiphenyl</t>
  </si>
  <si>
    <t>Heptachlor</t>
  </si>
  <si>
    <t>Halons</t>
  </si>
  <si>
    <t>Fluoranthene</t>
  </si>
  <si>
    <t>Ethylene oxide</t>
  </si>
  <si>
    <t>Ethyl benzene</t>
  </si>
  <si>
    <t>Endrin</t>
  </si>
  <si>
    <t>Endosulphan</t>
  </si>
  <si>
    <t>Diuron</t>
  </si>
  <si>
    <t>Dieldrin</t>
  </si>
  <si>
    <t>Dicofol</t>
  </si>
  <si>
    <t>Dichloromethane (DCM)</t>
  </si>
  <si>
    <t>Di-(2-ethyl hexyl) phthalate (DEHP)</t>
  </si>
  <si>
    <t>DDT</t>
  </si>
  <si>
    <t>Chlorpyrifos</t>
  </si>
  <si>
    <t>Chlorofluorocarbons (CFCs)</t>
  </si>
  <si>
    <t>Chloro-alkanes, C10-C13</t>
  </si>
  <si>
    <t>Chlorfenvinphos</t>
  </si>
  <si>
    <t>Chlordecone</t>
  </si>
  <si>
    <t>Chlordane</t>
  </si>
  <si>
    <t>Carbon monoxide (CO)</t>
  </si>
  <si>
    <t>Carbon dioxide (CO2)</t>
  </si>
  <si>
    <t>Brominated diphenylethers (PBDE)</t>
  </si>
  <si>
    <t>Benzo(g,h,i)perylene</t>
  </si>
  <si>
    <t>Benzene</t>
  </si>
  <si>
    <t>Atrazine</t>
  </si>
  <si>
    <t>Asbestos</t>
  </si>
  <si>
    <t>Anthracene</t>
  </si>
  <si>
    <t>Ammonia (NH3)</t>
  </si>
  <si>
    <t>Aldrin</t>
  </si>
  <si>
    <t>Alachlor</t>
  </si>
  <si>
    <t>Location biodiversity areas</t>
  </si>
  <si>
    <t>Located in biodiversity sensitive areas</t>
  </si>
  <si>
    <t>Located near biodiversity sesnistive areas</t>
  </si>
  <si>
    <t>01 WASTES RESULTING FROM EXPLORATION, MINING, DRESSING AND FURTHER TREATMENT OF MINERALS AND QUARRY</t>
  </si>
  <si>
    <t>02 WASTES FROM AGRICULTURAL, HORTICULTURAL, HUNTING, FISHING AND AQUACULTURAL PRIMARY PRODUCTION, FOOD PREPARATION AND PROCESSING</t>
  </si>
  <si>
    <t>03 WASTES FROM WOOD PROCESSING AND THE PRODUCTION OF PAPER, CARDBOARD, PULP, PANELS AND FURNITURE</t>
  </si>
  <si>
    <t>04 WASTES FROM THE LEATHER, FUR AND TEXTILE INDUSTRIES</t>
  </si>
  <si>
    <t>05 WASTES FROM PETROLEUM REFINING, NATURAL GAS PURIFICATION AND PYROLYTIC TREATMENT OF COAL</t>
  </si>
  <si>
    <t>06 WASTES FROM INORGANIC CHEMICAL PROCESSES</t>
  </si>
  <si>
    <t>07 WASTES FROM ORGANIC CHEMICAL PROCESSES</t>
  </si>
  <si>
    <t>08 WASTES FROM THE MANUFACTURE, FORMULATION, SUPPLY AND USE (MFSU) OF COATINGS (PAINTS, VARNISHES AND VITREOUS ENAMELS), ADHESIVES, SEALANTS AND PRINTING INKS</t>
  </si>
  <si>
    <t>09 WASTES FROM THE PHOTOGRAPHIC INDUSTRY</t>
  </si>
  <si>
    <t>10 INORGANIC WASTES FROM THERMAL PROCESSES</t>
  </si>
  <si>
    <t>11 INORGANIC METAL-CONTAINING WASTES FROM METAL TREATMENT AND THE COATING OF METALS, AND NON-FERROUS HYDROMETALLURGY</t>
  </si>
  <si>
    <t>12 WASTES FROM SHAPING AND SURFACE TREATMENT OF METALS AND PLASTICS</t>
  </si>
  <si>
    <t>13 OIL WASTES (except edible oils, wastes from petroleum refining, natural gas purification and pyrolytic treatment of coal and wastes from shaping and surface treatment of metals and plastics)</t>
  </si>
  <si>
    <t>15 WASTE PACKAGING; ABSORBENTS, WIPING CLOTHS, FILTER MATERIALS AND PROTECTIVE CLOTHING NOT OTHERWISE SPECIFIED</t>
  </si>
  <si>
    <t>16 WASTES NOT OTHERWISE SPECIFIED IN THE LIST</t>
  </si>
  <si>
    <t>17 CONSTRUCTION AND DEMOLITION WASTES (INCLUDING ROAD CONSTRUCTION)</t>
  </si>
  <si>
    <t>18 WASTES FROM HUMAN OR ANIMAL HEALTH CARE AND/OR RELATED RESEARCH (except kitchen and restaurant wastes not arising from immediate health care)</t>
  </si>
  <si>
    <t>19 WASTES FROM WASTE TREATMENT FACILITIES, OFF-SITE WASTE WATER TREATMENT PLANTS AND THE WATER INDUSTRY</t>
  </si>
  <si>
    <t>20 MUNICIPAL WASTES AND SIMILAR COMMERCIAL, INDUSTRIAL AND INSTITUTIONAL WASTES INCLUDING SEPARATELY COLLECTED FRACTIONS</t>
  </si>
  <si>
    <t>private limited liability undertaking</t>
  </si>
  <si>
    <t>partnership</t>
  </si>
  <si>
    <t>cooperative</t>
  </si>
  <si>
    <t>other (please specify the legal form in the row below)</t>
  </si>
  <si>
    <t>Undertakings Legal Forms</t>
  </si>
  <si>
    <t>Unit of measurement</t>
  </si>
  <si>
    <t>kilograms (kg)</t>
  </si>
  <si>
    <t>NACE sector classification code(s)</t>
  </si>
  <si>
    <t>Name of the key material</t>
  </si>
  <si>
    <t>Type of waste</t>
  </si>
  <si>
    <t>metric tonnes (t)</t>
  </si>
  <si>
    <t>cubic meters (m³)</t>
  </si>
  <si>
    <t>Total annual mass-flow of relevant materials used (mass in kg)</t>
  </si>
  <si>
    <t xml:space="preserve">    0101 Wastes from mineral excavation</t>
  </si>
  <si>
    <t xml:space="preserve">    0102 Wastes from mineral dressing</t>
  </si>
  <si>
    <t xml:space="preserve">    0103 Wastes from further physical and chemical processing of metalliferous minerals</t>
  </si>
  <si>
    <t xml:space="preserve">    0104 Wastes from further physical and chemical processing on non-metalliferous minerals</t>
  </si>
  <si>
    <t xml:space="preserve">    0105 Drilling muds and other drilling wastes</t>
  </si>
  <si>
    <t xml:space="preserve">    0201 Primary production wastes</t>
  </si>
  <si>
    <t xml:space="preserve">    0202 Wastes from the preparation and processing of meat, fish and other foods of animal origin</t>
  </si>
  <si>
    <t xml:space="preserve">    0203 Wastes from fruit, vegetables, cereals, edible oils, cocoa, coffee and tobacco preparation and processing; tobacco processing; conserve production</t>
  </si>
  <si>
    <t xml:space="preserve">    0204 Wastes from sugar processing</t>
  </si>
  <si>
    <t xml:space="preserve">    0205 Wastes from the dairy products industry</t>
  </si>
  <si>
    <t xml:space="preserve">    0206 Wastes from the baking and confectionery industry</t>
  </si>
  <si>
    <t xml:space="preserve">    0207 Wastes from the production of alcoholic and non-alcoholic beverages (except coffee, tea and cocoa)</t>
  </si>
  <si>
    <t xml:space="preserve">    0301 Wastes from wood processing and the production of panels and furniture</t>
  </si>
  <si>
    <t xml:space="preserve">    0302 Wood preservation wastes</t>
  </si>
  <si>
    <t xml:space="preserve">    0303 Wastes from pulp, paper and cardboard production and processing</t>
  </si>
  <si>
    <t xml:space="preserve">    0401 Wastes from the leather and fur industry</t>
  </si>
  <si>
    <t xml:space="preserve">    0402 Wastes from the textile industry</t>
  </si>
  <si>
    <t xml:space="preserve">    0501 Oily sludges and solid wastes</t>
  </si>
  <si>
    <t xml:space="preserve">    0502 Non oily sludges and solid wastes</t>
  </si>
  <si>
    <t xml:space="preserve">    0504 Spent filter clays</t>
  </si>
  <si>
    <t xml:space="preserve">    0505 Oil desulphurisation wastes</t>
  </si>
  <si>
    <t xml:space="preserve">    0506 Wastes from the pyrolytic treatment of coal</t>
  </si>
  <si>
    <t xml:space="preserve">    0507 Wastes from natural gas purification</t>
  </si>
  <si>
    <t xml:space="preserve">    0508 Wastes from oil regeneration</t>
  </si>
  <si>
    <t xml:space="preserve">    0601 Waste acidic solutions</t>
  </si>
  <si>
    <t xml:space="preserve">    0602 Waste alkaline solutions</t>
  </si>
  <si>
    <t xml:space="preserve">    0603 Waste salts and their solutions</t>
  </si>
  <si>
    <t xml:space="preserve">    0604 Metal-containing wastes</t>
  </si>
  <si>
    <t xml:space="preserve">    0605 Sludges from on-site effluent treatment</t>
  </si>
  <si>
    <t xml:space="preserve">    0606 Wastes from sulphur chemical processes (production and transformation) and desulphurisation processes</t>
  </si>
  <si>
    <t xml:space="preserve">    0607 Wastes from halogen chemical processes</t>
  </si>
  <si>
    <t xml:space="preserve">    0608 Waste from production of silicon and silicon derivatives</t>
  </si>
  <si>
    <t xml:space="preserve">    0609 Wastes from phosphorus chemical processes</t>
  </si>
  <si>
    <t xml:space="preserve">    0610 Waste from nitrogen chemical processes and fertiliser manufacture</t>
  </si>
  <si>
    <t xml:space="preserve">    0611 Waste from the manufacture of inorganic pigments and opacificiers</t>
  </si>
  <si>
    <t xml:space="preserve">    0613 Wastes from other inorganic chemical processes</t>
  </si>
  <si>
    <t xml:space="preserve">    0701 Wastes from the manufacture, formulation, supply and use (MFSU) of basic organic chemicals</t>
  </si>
  <si>
    <t xml:space="preserve">    0702 Wastes from the MFSU of plastics, synthetic rubber and man-made fibres</t>
  </si>
  <si>
    <t xml:space="preserve">    0703 Wastes from the MFSU of organic dyes and pigments (except waste from the manufacture of inorganic pigments and opacificiers)</t>
  </si>
  <si>
    <t xml:space="preserve">    0704 Wastes from the MFSU of organic pesticides (except agrochemical wastes)</t>
  </si>
  <si>
    <t xml:space="preserve">    0705 Wastes from the MFSU of pharmaceuticals</t>
  </si>
  <si>
    <t xml:space="preserve">    0706 Wastes from the MFSU of fats, grease, soaps, detergents disinfectants and cosmetics</t>
  </si>
  <si>
    <t xml:space="preserve">    0707 Wastes from the MFSU of fine chemicals and chemical products not otherwise specified</t>
  </si>
  <si>
    <t xml:space="preserve">    0801 Wastes from MFSU and removal of paint and varnish</t>
  </si>
  <si>
    <t xml:space="preserve">    0802 Wastes from MFSU of other coatings (including ceramic materials)</t>
  </si>
  <si>
    <t xml:space="preserve">    0803 Wastes from MFSU of printing inks</t>
  </si>
  <si>
    <t xml:space="preserve">    0804 Wastes from MFSU of adhesives and sealants (including waterproofing products)</t>
  </si>
  <si>
    <t xml:space="preserve">    0805 Wastes not otherwise specified</t>
  </si>
  <si>
    <t xml:space="preserve">    0901 Wastes from the photographic industry</t>
  </si>
  <si>
    <t xml:space="preserve">    1001 Wastes from power stations and other combustion plants (except wastes from waste treatment facilities, off-site waste water treatment plants and the water industry)</t>
  </si>
  <si>
    <t xml:space="preserve">    1002 Wastes from the iron and steel industry</t>
  </si>
  <si>
    <t xml:space="preserve">    1003 Wastes from aluminium thermal metallurgy</t>
  </si>
  <si>
    <t xml:space="preserve">    1004 Wastes from lead thermal metallurgy</t>
  </si>
  <si>
    <t xml:space="preserve">    1005 Wastes from zinc thermal metallurgy</t>
  </si>
  <si>
    <t xml:space="preserve">    1006 Wastes from copper thermal metallurgy</t>
  </si>
  <si>
    <t xml:space="preserve">    1007 Wastes from silver, gold and platinum thermal metallurgy</t>
  </si>
  <si>
    <t xml:space="preserve">    1008 Wastes from other non-ferrous thermal metallurgy</t>
  </si>
  <si>
    <t xml:space="preserve">    1009 Wastes from casting of ferrous pieces</t>
  </si>
  <si>
    <t xml:space="preserve">    1010 Wastes from casting of non-ferrous pieces</t>
  </si>
  <si>
    <t xml:space="preserve">    1011 Wastes from manufacture of glass and glass products</t>
  </si>
  <si>
    <t xml:space="preserve">    1012 Wastes from manufacture of ceramic goods, bricks, tiles and construction products</t>
  </si>
  <si>
    <t xml:space="preserve">    1013 Wastes from manufacture of cement, lime and plaster and articles and products made from them</t>
  </si>
  <si>
    <t xml:space="preserve">    1101 Liquid wastes and sludges from metal treatment and coating of metals, (e.g. galvanic processes, zinc coating processes, pickling processes, etching, phosphatising, alkaline degreasing)</t>
  </si>
  <si>
    <t xml:space="preserve">    1102 Wastes and sludges from non-ferrous hydrometallurgical processes</t>
  </si>
  <si>
    <t xml:space="preserve">    1103 Sludges and solids from tempering processes</t>
  </si>
  <si>
    <t xml:space="preserve">    1104 Other inorganic metal-containing wastes not otherwise specified</t>
  </si>
  <si>
    <t xml:space="preserve">    1201 Wastes from shaping (including forgoing, welding, pressing, drawing, turning, cutting and filing)</t>
  </si>
  <si>
    <t xml:space="preserve">    1202 Wastes from mechanical surface treatment processes (blasting, grinding, honing, lapping, polishing)</t>
  </si>
  <si>
    <t xml:space="preserve">    1203 Wastes from water and steam degreasing processes (except inorganic metal-containing wastes from metal treatment and the coating of metals, and non-ferrous hydrometallurgy)</t>
  </si>
  <si>
    <t xml:space="preserve">    1301 Waste hydraulic oils and brake fluids</t>
  </si>
  <si>
    <t xml:space="preserve">    1302 Waste engine, gear and lubricating oils</t>
  </si>
  <si>
    <t xml:space="preserve">    1303 Waste insulating and heat transmission oils and other liquids</t>
  </si>
  <si>
    <t xml:space="preserve">    1304 Bilge oils</t>
  </si>
  <si>
    <t xml:space="preserve">    1305 Oil/water separator contents</t>
  </si>
  <si>
    <t xml:space="preserve">    1306 Oil waste not otherwise specified</t>
  </si>
  <si>
    <t xml:space="preserve">    1401 Wastes from metal degreasing and machinery maintenance</t>
  </si>
  <si>
    <t xml:space="preserve">    1402 Wastes from textile cleaning and degreasing of natural products</t>
  </si>
  <si>
    <t xml:space="preserve">    1403 Wastes from the electronic industry</t>
  </si>
  <si>
    <t xml:space="preserve">    1404 Wastes from coolants, foam/aerosol propellents</t>
  </si>
  <si>
    <t xml:space="preserve">    1405 Wastes from solvent and coolant recovery (still bottoms)</t>
  </si>
  <si>
    <t xml:space="preserve">    1501 Packaging</t>
  </si>
  <si>
    <t xml:space="preserve">    1502 Absorbents, filter materials, wiping cloths and protective clothing</t>
  </si>
  <si>
    <t xml:space="preserve">    1601 End-of-life vehicles and their components</t>
  </si>
  <si>
    <t xml:space="preserve">    1602 Discarded equipment and its components</t>
  </si>
  <si>
    <t xml:space="preserve">    1603 Off-specification batches</t>
  </si>
  <si>
    <t xml:space="preserve">    1604 Waste explosives</t>
  </si>
  <si>
    <t xml:space="preserve">    1605 Chemicals and gases in containers</t>
  </si>
  <si>
    <t xml:space="preserve">    1606 Batteries and accumulators</t>
  </si>
  <si>
    <t xml:space="preserve">    1607 Wastes from transport and storage tank cleaning (except wastes from petroleum refining, natural gas purification and pyrolytic treatment of coal and wastes from shaping and surface treatment of metals and plastics)</t>
  </si>
  <si>
    <t xml:space="preserve">    1608 Spent catalysts</t>
  </si>
  <si>
    <t xml:space="preserve">    1701 Concrete, bricks, tiles, ceramics, and gypsum-based materials</t>
  </si>
  <si>
    <t xml:space="preserve">    1702 Wood, glass and plastic</t>
  </si>
  <si>
    <t xml:space="preserve">    1703 Asphalt, tar and tarred products</t>
  </si>
  <si>
    <t xml:space="preserve">    1704 Metals (including their alloys)</t>
  </si>
  <si>
    <t xml:space="preserve">    1705 Soil and dredging spoil</t>
  </si>
  <si>
    <t xml:space="preserve">    1706 Insulation materials</t>
  </si>
  <si>
    <t xml:space="preserve">    1707 Mixed construction and demolition waste</t>
  </si>
  <si>
    <t xml:space="preserve">    1801 Wastes from natal care, diagnosis, treatment or prevention of disease in humans</t>
  </si>
  <si>
    <t xml:space="preserve">    1802 Wastes from research, diagnosis, treatment or prevention of disease involving animals</t>
  </si>
  <si>
    <t xml:space="preserve">    1901 Wastes from incineration or pyrolysis of waste</t>
  </si>
  <si>
    <t xml:space="preserve">    1902 Wastes from specific physico/chemical treatments of industrial waste, (e.g. dechromatation, decyanidation, neutralisation)</t>
  </si>
  <si>
    <t xml:space="preserve">    1903 Stabilised/solidified wastes</t>
  </si>
  <si>
    <t xml:space="preserve">    1904 Vitrified waste and wastes from vitrification</t>
  </si>
  <si>
    <t xml:space="preserve">    1905 Wastes from aerobic treatment of solid wastes</t>
  </si>
  <si>
    <t xml:space="preserve">    1906 Wastes from anaerobic treatment of waste</t>
  </si>
  <si>
    <t xml:space="preserve">    1907 Landfill leachate</t>
  </si>
  <si>
    <t xml:space="preserve">    1908 Wastes from waste water treatment plants not otherwise specified</t>
  </si>
  <si>
    <t xml:space="preserve">    1909 Wastes from the preparation of drinking water or water for industrial use</t>
  </si>
  <si>
    <t xml:space="preserve">    1910 Wastes from shredding of metal-containing waste</t>
  </si>
  <si>
    <t xml:space="preserve">    2001 Separately collected fractions</t>
  </si>
  <si>
    <t xml:space="preserve">    2002 Garden and park wastes (including cemetery waste)</t>
  </si>
  <si>
    <t xml:space="preserve">    2003 Other municipal wastes</t>
  </si>
  <si>
    <t>Total Energy Consumption</t>
  </si>
  <si>
    <t>Water</t>
  </si>
  <si>
    <t>Air</t>
  </si>
  <si>
    <t>Soil</t>
  </si>
  <si>
    <t>[+]</t>
  </si>
  <si>
    <t>Version:</t>
  </si>
  <si>
    <t>How to use it:</t>
  </si>
  <si>
    <t>Publication date:</t>
  </si>
  <si>
    <t>Basic Module</t>
  </si>
  <si>
    <t>Comprehensive Module</t>
  </si>
  <si>
    <t>Validation OK</t>
  </si>
  <si>
    <t>Cell background color index:</t>
  </si>
  <si>
    <t>B2</t>
  </si>
  <si>
    <t>Business conduct</t>
  </si>
  <si>
    <t>Sustainability ussues addressed</t>
  </si>
  <si>
    <t>Climate change</t>
  </si>
  <si>
    <t>Pollution</t>
  </si>
  <si>
    <t>Water and marine resources</t>
  </si>
  <si>
    <t>Biodiversity and ecosystems</t>
  </si>
  <si>
    <t>Circular economy</t>
  </si>
  <si>
    <t>Own workforce</t>
  </si>
  <si>
    <t>Affected communities</t>
  </si>
  <si>
    <t>Consumers and end-users</t>
  </si>
  <si>
    <t>Hectares or meters squared</t>
  </si>
  <si>
    <t>Link to previous report containing disclosures that remain unchanged</t>
  </si>
  <si>
    <t>Undertakings are excluded from the EU Paris-aligned Benchmarks if they  derive:</t>
  </si>
  <si>
    <t>Number of employees covered by collective bargaining agreements</t>
  </si>
  <si>
    <t>Number of female employees at management level</t>
  </si>
  <si>
    <t>14 WASTES FROM ORGANIC SUBSTANCES USED AS SOLVENTS (except WASTES FROM ORGANIC CHEMICAL PROCESSES and WASTES FROM THE MANUFACTURE, FORMULATION, SUPPLY AND USE (MFSU) OF COATINGS (PAINTS, VARNISHES AND VITREOUS ENAMELS), ADHESIVES, SEALANTS AND PRINTING INKS)</t>
  </si>
  <si>
    <t>YES or NO</t>
  </si>
  <si>
    <t>YES</t>
  </si>
  <si>
    <t>NO</t>
  </si>
  <si>
    <t>Future Initiative</t>
  </si>
  <si>
    <t>Indicates that the disclosure is from the VSME Comprehensive Module.</t>
  </si>
  <si>
    <t>Indicates that the disclosure is from the VSME Basic Module.</t>
  </si>
  <si>
    <t>General Principles</t>
  </si>
  <si>
    <t>Indicates that the disclosure is from the general principles of the VSME.</t>
  </si>
  <si>
    <t>Indicates that data entry is OK and the undertaking can proceed to the next disclosure.</t>
  </si>
  <si>
    <t>Year (date)</t>
  </si>
  <si>
    <t>Site located in a biodiversity sensitive area</t>
  </si>
  <si>
    <t>Site located near a biodiversity sensitive area</t>
  </si>
  <si>
    <t>Female-to-male ratio at management level for the reporting period</t>
  </si>
  <si>
    <t>Description of how it applies these principles</t>
  </si>
  <si>
    <t>Average number of annual training hours per employee</t>
  </si>
  <si>
    <t>GPS Coordinates (geolocation)</t>
  </si>
  <si>
    <t>Information on previous reporting period</t>
  </si>
  <si>
    <t>Reproduction and use rights are strictly limited. For further details please contact efragsecretariat@efrag.org</t>
  </si>
  <si>
    <t>EFRAG is funded by the European Union through the Single Market Programme in which the EEA-EFTA countries (Norway, Iceland and Liechtenstein), as well as Kosovo participate. Any views and opinions expressed are however those of the author(s) only and do not necessarily reflect those of the European Union, the European Commission or of countries that participate in the Single Market Programme. Neither the European Union, the European Commission nor countries participating in the Single market Programme can be held responsible for them. © 2025 EFRAG All rights reserved.</t>
  </si>
  <si>
    <t>None of the above</t>
  </si>
  <si>
    <t>FUEL CONVERTER</t>
  </si>
  <si>
    <t xml:space="preserve">What is your fuel? </t>
  </si>
  <si>
    <t>Energy [MWh]</t>
  </si>
  <si>
    <t>UNIT OF MEASUREMENT CONVERTER</t>
  </si>
  <si>
    <t>Unit of measurement of Mass Converter</t>
  </si>
  <si>
    <t>to</t>
  </si>
  <si>
    <t>Unit of measurement of Volume Converter</t>
  </si>
  <si>
    <t>Unit of measurement of Energy Consumption per Hour</t>
  </si>
  <si>
    <t>Unit of measurement of Density Converter</t>
  </si>
  <si>
    <t>Unit of measurement of NCV Converter</t>
  </si>
  <si>
    <t>Fuels</t>
  </si>
  <si>
    <t>Mass</t>
  </si>
  <si>
    <t>Volume</t>
  </si>
  <si>
    <t>Energy</t>
  </si>
  <si>
    <t>From → To</t>
  </si>
  <si>
    <t>g/L</t>
  </si>
  <si>
    <t>Kg/L</t>
  </si>
  <si>
    <t>t/L</t>
  </si>
  <si>
    <t>Gg/L</t>
  </si>
  <si>
    <t>g/m³</t>
  </si>
  <si>
    <t>Kg/m³</t>
  </si>
  <si>
    <t>t/m³</t>
  </si>
  <si>
    <t>Gg/m³</t>
  </si>
  <si>
    <t>J/g</t>
  </si>
  <si>
    <t>J/Kg</t>
  </si>
  <si>
    <t>J/t</t>
  </si>
  <si>
    <t>J/Gg</t>
  </si>
  <si>
    <t>TJ/g</t>
  </si>
  <si>
    <t>TJ/Kg</t>
  </si>
  <si>
    <t>TJ/t</t>
  </si>
  <si>
    <t>TJ/Gg</t>
  </si>
  <si>
    <t>MWh/g</t>
  </si>
  <si>
    <t>MWh/Kg</t>
  </si>
  <si>
    <t>MWh/t</t>
  </si>
  <si>
    <t>MWh/Gg</t>
  </si>
  <si>
    <t>Anthracite</t>
  </si>
  <si>
    <t>Solid</t>
  </si>
  <si>
    <t>Gg - Gigagram</t>
  </si>
  <si>
    <r>
      <t>m</t>
    </r>
    <r>
      <rPr>
        <sz val="11"/>
        <color theme="1"/>
        <rFont val="Aptos Narrow"/>
        <family val="2"/>
      </rPr>
      <t>³ - cubic meters</t>
    </r>
  </si>
  <si>
    <t>TJ - Terajoule</t>
  </si>
  <si>
    <t>Aviation gasoline</t>
  </si>
  <si>
    <t>Liquid</t>
  </si>
  <si>
    <t>t - tonne</t>
  </si>
  <si>
    <t>L - Liter</t>
  </si>
  <si>
    <t>MWh - Megawatt hours</t>
  </si>
  <si>
    <t>Biodiesel</t>
  </si>
  <si>
    <t>Kg - Kilogram</t>
  </si>
  <si>
    <t>Biogasoline</t>
  </si>
  <si>
    <t>g - gram</t>
  </si>
  <si>
    <t>Bitumen</t>
  </si>
  <si>
    <t>Blast furnace gas</t>
  </si>
  <si>
    <t>Brown coal briquettes</t>
  </si>
  <si>
    <t>Coke oven coke &amp; lignite coke</t>
  </si>
  <si>
    <t>Coke oven gas</t>
  </si>
  <si>
    <t>Coking coal</t>
  </si>
  <si>
    <t>Ethane</t>
  </si>
  <si>
    <t>Gas coke</t>
  </si>
  <si>
    <t>Gas/Diesel oil</t>
  </si>
  <si>
    <t>Jet gasoline</t>
  </si>
  <si>
    <t>Jet kerosene</t>
  </si>
  <si>
    <t>Landfill gas</t>
  </si>
  <si>
    <t>Lignite</t>
  </si>
  <si>
    <t>Liquefied Petroleum Gases (LPG)</t>
  </si>
  <si>
    <t>Lubricants</t>
  </si>
  <si>
    <t>Methane</t>
  </si>
  <si>
    <t>Motor gasoline/Petrol</t>
  </si>
  <si>
    <t>Municipal wastes (biomass fraction)</t>
  </si>
  <si>
    <t>Municipal wastes (non-biomass fraction)</t>
  </si>
  <si>
    <t>Naphtha</t>
  </si>
  <si>
    <t>Natural gas</t>
  </si>
  <si>
    <t>Oil shale and tar sands</t>
  </si>
  <si>
    <t>Orimulsion</t>
  </si>
  <si>
    <t>Oxygen steel furnace gas</t>
  </si>
  <si>
    <t>Paraffin waxes</t>
  </si>
  <si>
    <t>Patent fuel</t>
  </si>
  <si>
    <t>Peat</t>
  </si>
  <si>
    <t>Petroleum coke</t>
  </si>
  <si>
    <t>Propane</t>
  </si>
  <si>
    <t>Refinery feedstocks</t>
  </si>
  <si>
    <t>Refinery Gas</t>
  </si>
  <si>
    <t>Residual fuel oil</t>
  </si>
  <si>
    <t>Shale oil (liquid)</t>
  </si>
  <si>
    <t>Sludge gas</t>
  </si>
  <si>
    <t>Sub-bituminous coal</t>
  </si>
  <si>
    <t>Turpentine</t>
  </si>
  <si>
    <t>Vegetable oils</t>
  </si>
  <si>
    <t>Waste oils</t>
  </si>
  <si>
    <t>Waste water treatment biogas</t>
  </si>
  <si>
    <t>White Spirit &amp; SBP</t>
  </si>
  <si>
    <t>Wood/Wood waste</t>
  </si>
  <si>
    <t>Indicates that either data entry is incorrect in terms of format or that certain information is missing in order to correctly report on the disclosure.</t>
  </si>
  <si>
    <t>Lists can be expanded using the plus [+] button on the left. If the number of rows is not sufficient, additional rows can be added by right clicking the second row and selecting "Insert row".</t>
  </si>
  <si>
    <t>Does the undertaking have confirmed incidents in its own workforce?</t>
  </si>
  <si>
    <t>Registered Address</t>
  </si>
  <si>
    <t>State of matter</t>
  </si>
  <si>
    <t>KJ/g</t>
  </si>
  <si>
    <t>KJ/Kg</t>
  </si>
  <si>
    <t>KJ/t</t>
  </si>
  <si>
    <t>KJ/Gg</t>
  </si>
  <si>
    <t>Amount</t>
  </si>
  <si>
    <t>Year</t>
  </si>
  <si>
    <t>Month</t>
  </si>
  <si>
    <t>January</t>
  </si>
  <si>
    <t>February</t>
  </si>
  <si>
    <t>March</t>
  </si>
  <si>
    <t>April</t>
  </si>
  <si>
    <t>May</t>
  </si>
  <si>
    <t>June</t>
  </si>
  <si>
    <t>July</t>
  </si>
  <si>
    <t>August</t>
  </si>
  <si>
    <t>September</t>
  </si>
  <si>
    <t>October</t>
  </si>
  <si>
    <t>November</t>
  </si>
  <si>
    <t>December</t>
  </si>
  <si>
    <t>Revenue derived from chemicals production</t>
  </si>
  <si>
    <t>Revenue derived from gas</t>
  </si>
  <si>
    <t>Revenue derived from oil</t>
  </si>
  <si>
    <t>Revenue derived from coal</t>
  </si>
  <si>
    <t>Revenue derived from cultivation and production of tobacco</t>
  </si>
  <si>
    <t>A transition plan has already been adopted</t>
  </si>
  <si>
    <t>Implementation status</t>
  </si>
  <si>
    <t>Basis for preparation (Basic Module Only or Basic &amp; Comprehensive Module)</t>
  </si>
  <si>
    <t>List of omitted disclosures (with None)</t>
  </si>
  <si>
    <t xml:space="preserve">List of omitted disclosures </t>
  </si>
  <si>
    <t>Other undertaking's legal form specification</t>
  </si>
  <si>
    <t>Renewable</t>
  </si>
  <si>
    <t>Non-renewable</t>
  </si>
  <si>
    <t>Total renewable and non-renewable</t>
  </si>
  <si>
    <t>Employees receive pay that is equal or above applicable minimum wage determined directly by the national minimum wage law or through a collective bargaining agreement</t>
  </si>
  <si>
    <t>Total self-employed workers without personnel that are working exclusively for the undertaking</t>
  </si>
  <si>
    <t>Starting year</t>
  </si>
  <si>
    <t>Starting month</t>
  </si>
  <si>
    <t>Starting day</t>
  </si>
  <si>
    <t>Ending year</t>
  </si>
  <si>
    <t>Ending month</t>
  </si>
  <si>
    <t>Ending day</t>
  </si>
  <si>
    <t>Reporting period string:</t>
  </si>
  <si>
    <t xml:space="preserve">Ending date string: </t>
  </si>
  <si>
    <t>No value can be entered in the cell.</t>
  </si>
  <si>
    <t>Month number</t>
  </si>
  <si>
    <t>Area (hectares or m² based on the selection above)</t>
  </si>
  <si>
    <t>Indicates that no data entry is required unless certain logics are selected in the disclosure itself. When one of these logics is selected, then this cell will turn white.</t>
  </si>
  <si>
    <t>Please select the unit used for the area (i.e. either hectares or m²):</t>
  </si>
  <si>
    <t>Particulate matter (PM)</t>
  </si>
  <si>
    <t>Please select the unit used for reporting the amount (i.e. either kg or tonne)</t>
  </si>
  <si>
    <t>Unit of measurement (mass only)</t>
  </si>
  <si>
    <t>Waste directed to disposal</t>
  </si>
  <si>
    <t>Is this disclosure already publicly available?</t>
  </si>
  <si>
    <t>Typical NCV [TJ/Gg]</t>
  </si>
  <si>
    <r>
      <t>Typical Density [kg/L</t>
    </r>
    <r>
      <rPr>
        <b/>
        <sz val="11"/>
        <color theme="1"/>
        <rFont val="Aptos Narrow"/>
        <family val="2"/>
      </rPr>
      <t>]</t>
    </r>
  </si>
  <si>
    <r>
      <t>Typical Density [kg/m</t>
    </r>
    <r>
      <rPr>
        <b/>
        <sz val="11"/>
        <color theme="1"/>
        <rFont val="Aptos Narrow"/>
        <family val="2"/>
      </rPr>
      <t>³]</t>
    </r>
  </si>
  <si>
    <t>Other 1</t>
  </si>
  <si>
    <t>Other 2</t>
  </si>
  <si>
    <t>Other 3</t>
  </si>
  <si>
    <t>Other 4</t>
  </si>
  <si>
    <t>Other 5</t>
  </si>
  <si>
    <t>Other 6</t>
  </si>
  <si>
    <t>Other 7</t>
  </si>
  <si>
    <t>Other 8</t>
  </si>
  <si>
    <t>Other 9</t>
  </si>
  <si>
    <t>Other 10</t>
  </si>
  <si>
    <t>Has the undertaking obtained the necessary information to provide an energy consumption breakdown?</t>
  </si>
  <si>
    <t>Has the strategy key elements that relate to or affect sustainability issues?</t>
  </si>
  <si>
    <t>Does the undertaking have sites that are located in or near biodiversity sensitive areas?</t>
  </si>
  <si>
    <t>Has the undertaking incurred in convictions and fines in the reporting period?</t>
  </si>
  <si>
    <t>Is the undertaking deriving revenues from one of the activities listed below?</t>
  </si>
  <si>
    <t>Does the undertaking have a governance body in place?</t>
  </si>
  <si>
    <t>Has the undertaking obtained any sustainability-related certification(s) or label(s) ?</t>
  </si>
  <si>
    <t>Basis for reporting (consolidated or individual basis)</t>
  </si>
  <si>
    <t>Percentage of employees covered by collective bargaining agreements [%]</t>
  </si>
  <si>
    <t>6. The undertaking may also upload the report to public repositories or a webpage.</t>
  </si>
  <si>
    <t>Waste categories (for validation only)</t>
  </si>
  <si>
    <t>Employee counting methodology (At the end of reporting period or as an average during the reporting period)</t>
  </si>
  <si>
    <t>Employee counting methodology (Headcount or Full-time equivalent)</t>
  </si>
  <si>
    <t>Employee methodologies</t>
  </si>
  <si>
    <t>At the end of the reporting period</t>
  </si>
  <si>
    <t>As an average across the reporting period</t>
  </si>
  <si>
    <t>Specify other types of content covered by the code of conduct or human rights policy</t>
  </si>
  <si>
    <t>Number of employees who left during the reporting period</t>
  </si>
  <si>
    <t>Number of employees at the beginning of the reporting period</t>
  </si>
  <si>
    <t>Number of employees at the end of the reporting period</t>
  </si>
  <si>
    <t>Number of recordable work-related accidents in the reporting period</t>
  </si>
  <si>
    <t>Number of hours worked by  one full-time employee in the reporting period</t>
  </si>
  <si>
    <t>Total number of hours worked in a year by all employees in the reporting period</t>
  </si>
  <si>
    <t>Total number of convictions  for the violation of anti-corruption and anti-bribery laws</t>
  </si>
  <si>
    <t>NACE A - AGRICULTURE, FORESTRY AND FISHING</t>
  </si>
  <si>
    <t>NACE A - 01 Crop and animal production, hunting and related service activities</t>
  </si>
  <si>
    <t>NACE A - 01.1 Growing of non-perennial crops</t>
  </si>
  <si>
    <t>NACE A - 01.2 Growing of perennial crops</t>
  </si>
  <si>
    <t>NACE A - 01.3 Plant propagation</t>
  </si>
  <si>
    <t>NACE A - 01.4 Animal production</t>
  </si>
  <si>
    <t>NACE A - 01.5 Mixed farming</t>
  </si>
  <si>
    <t>NACE A - 01.6 Support activities to agriculture and post-harvest crop activities</t>
  </si>
  <si>
    <t>NACE A - 01.7 Hunting, trapping and related service activities</t>
  </si>
  <si>
    <t>NACE A - 02 Forestry and logging</t>
  </si>
  <si>
    <t>NACE A - 02.1 Silviculture and other forestry activities</t>
  </si>
  <si>
    <t>NACE A - 02.2 Logging</t>
  </si>
  <si>
    <t>NACE A - 02.3 Gathering of wild growing non-wood products</t>
  </si>
  <si>
    <t>NACE A - 02.4 Support services to forestry</t>
  </si>
  <si>
    <t>NACE A - 03 Fishing and aquaculture</t>
  </si>
  <si>
    <t>NACE A - 03.1 Fishing</t>
  </si>
  <si>
    <t>NACE A - 03.2 Aquaculture</t>
  </si>
  <si>
    <t>NACE A - 03.3 Support activities for fishing and aquaculture</t>
  </si>
  <si>
    <t>NACE B - MINING AND QUARRYING</t>
  </si>
  <si>
    <t>NACE B - 04 Mining of coal and lignite</t>
  </si>
  <si>
    <t>NACE B - 05.1 Mining of hard coal</t>
  </si>
  <si>
    <t>NACE B - 05.2 Mining of lignite</t>
  </si>
  <si>
    <t>NACE B - 05 Extraction of crude petroleum and natural gas</t>
  </si>
  <si>
    <t>NACE B - 06.1 Extraction of crude petroleum</t>
  </si>
  <si>
    <t>NACE B - 06.2 Extraction of natural gas</t>
  </si>
  <si>
    <t>NACE B - 06 Mining of metal ores</t>
  </si>
  <si>
    <t>NACE B - 07.1 Mining of iron ores</t>
  </si>
  <si>
    <t>NACE B - 07.2 Mining of non-ferrous metal ores</t>
  </si>
  <si>
    <t>NACE B - 07 Other mining and quarrying</t>
  </si>
  <si>
    <t>NACE B - 08.1 Quarrying of stone, sand and clay</t>
  </si>
  <si>
    <t>NACE B - 08.9 Mining and quarrying n.e.c.</t>
  </si>
  <si>
    <t>NACE B - 08 Mining support service activities</t>
  </si>
  <si>
    <t>NACE B - 09.1 Support activities for petroleum and natural gas extraction</t>
  </si>
  <si>
    <t>NACE B - 09.9 Support activities for other mining and quarrying</t>
  </si>
  <si>
    <t>NACE C - MANUFACTURING</t>
  </si>
  <si>
    <t>NACE C - 10 Manufacture of food products</t>
  </si>
  <si>
    <t>NACE C - 10.1 Processing and preserving of meat and production of meat products</t>
  </si>
  <si>
    <t>NACE C - 10.2 Processing and preserving of fish, crustaceans and molluscs</t>
  </si>
  <si>
    <t>NACE C - 10.3 Processing and preserving of fruit and vegetables</t>
  </si>
  <si>
    <t>NACE C - 10.4 Manufacture of vegetable and animal oils and fats</t>
  </si>
  <si>
    <t>NACE C - 10.5 Manufacture of dairy products and edible ice</t>
  </si>
  <si>
    <t>NACE C - 10.6 Manufacture of grain mill products, starches and starch products</t>
  </si>
  <si>
    <t>NACE C - 10.7 Manufacture of bakery and farinaceous products</t>
  </si>
  <si>
    <t>NACE C - 10.8 Manufacture of other food products</t>
  </si>
  <si>
    <t>NACE C - 10.9 Manufacture of prepared animal feeds</t>
  </si>
  <si>
    <t>NACE C - 11 Manufacture of beverages</t>
  </si>
  <si>
    <t>NACE C - 11.0 Manufacture of beverages</t>
  </si>
  <si>
    <t>NACE C - 12 Manufacture of tobacco products</t>
  </si>
  <si>
    <t>NACE C - 12.0 Manufacture of tobacco products</t>
  </si>
  <si>
    <t>NACE C - 13 Manufacture of textiles</t>
  </si>
  <si>
    <t>NACE C - 13.1 Preparation and spinning of textile fibres</t>
  </si>
  <si>
    <t>NACE C - 13.2 Weaving of textiles</t>
  </si>
  <si>
    <t>NACE C - 13.3 Finishing of textiles</t>
  </si>
  <si>
    <t>NACE C - 13.9 Manufacture of other textiles</t>
  </si>
  <si>
    <t>NACE C - 14 Manufacture of wearing apparel</t>
  </si>
  <si>
    <t>NACE C - 14.1 Manufacture of knitted and crocheted apparel</t>
  </si>
  <si>
    <t>NACE C - 14.2 Manufacture of other wearing apparel and accessories</t>
  </si>
  <si>
    <t>NACE C - 15 Manufacture of leather and related products of other materials</t>
  </si>
  <si>
    <t>NACE C - 15.1 Tanning, dyeing, dressing of leather and fur; manufacture of luggage, handbags, saddlery and harness</t>
  </si>
  <si>
    <t>NACE C - 15.2 Manufacture of footwear</t>
  </si>
  <si>
    <t>NACE C - 15.20 Manufacture of footwear</t>
  </si>
  <si>
    <t>NACE C - 16 Manufacture of wood and of products of wood and cork, except furniture; manufacture of articles of straw and plaiting materials</t>
  </si>
  <si>
    <t>NACE C - 16.1 Sawmilling and planing of wood; processing and finishing of wood</t>
  </si>
  <si>
    <t>NACE C - 16.2 Manufacture of products of wood, cork, straw and plaiting materials</t>
  </si>
  <si>
    <t>NACE C - 17 Manufacture of paper and paper products</t>
  </si>
  <si>
    <t>NACE C - 17.1 Manufacture of pulp, paper and paperboard</t>
  </si>
  <si>
    <t>NACE C - 17.2 Manufacture of articles of paper and paperboard</t>
  </si>
  <si>
    <t>NACE C - 18 Printing and reproduction of recorded media</t>
  </si>
  <si>
    <t>NACE C - 18.1 Printing and service activities related to printing</t>
  </si>
  <si>
    <t>NACE C - 18.2 Reproduction of recorded media</t>
  </si>
  <si>
    <t>NACE C - 19 Manufacture of coke and refined petroleum products</t>
  </si>
  <si>
    <t>NACE C - 19.1 Manufacture of coke oven products</t>
  </si>
  <si>
    <t>NACE C - 19.2 Manufacture of refined petroleum products and fossil fuel products</t>
  </si>
  <si>
    <t>NACE C - 20 Manufacture of chemicals and chemical products</t>
  </si>
  <si>
    <t>NACE C - 20.1 Manufacture of basic chemicals, fertilisers and nitrogen compounds, plastics and synthetic rubber in primary forms</t>
  </si>
  <si>
    <t>NACE C - 20.2 Manufacture of pesticides, disinfectants and other agrochemical products</t>
  </si>
  <si>
    <t>NACE C - 20.3 Manufacture of paints, varnishes and similar coatings, printing ink and mastics</t>
  </si>
  <si>
    <t>NACE C - 20.4 Manufacture of washing, cleaning and polishing preparations</t>
  </si>
  <si>
    <t>NACE C - 20.5 Manufacture of other chemical products</t>
  </si>
  <si>
    <t>NACE C - 20.6 Manufacture of man-made fibres</t>
  </si>
  <si>
    <t>NACE C - 21 Manufacture of basic pharmaceutical products and pharmaceutical preparations</t>
  </si>
  <si>
    <t>NACE C - 21.1 Manufacture of basic pharmaceutical products</t>
  </si>
  <si>
    <t>NACE C - 21.2 Manufacture of pharmaceutical preparations</t>
  </si>
  <si>
    <t>NACE C - 22 Manufacture of rubber and plastic products</t>
  </si>
  <si>
    <t>NACE C - 22.1 Manufacture of rubber products</t>
  </si>
  <si>
    <t>NACE C - 22.2 Manufacture of plastic products</t>
  </si>
  <si>
    <t>NACE C - 23 Manufacture of other non-metallic mineral products</t>
  </si>
  <si>
    <t>NACE C - 23.1 Manufacture of glass and glass products</t>
  </si>
  <si>
    <t>NACE C - 23.2 Manufacture of refractory products</t>
  </si>
  <si>
    <t>NACE C - 23.3 Manufacture of clay building materials</t>
  </si>
  <si>
    <t>NACE C - 23.4 Manufacture of other porcelain and ceramic products</t>
  </si>
  <si>
    <t>NACE C - 23.5 Manufacture of cement, lime and plaster</t>
  </si>
  <si>
    <t>NACE C - 23.6 Manufacture of articles of concrete, cement and plaster</t>
  </si>
  <si>
    <t>NACE C - 23.7 Cutting, shaping and finishing of stone</t>
  </si>
  <si>
    <t>NACE C - 23.9 Manufacture of abrasive products and non-metallic mineral products n.e.c.</t>
  </si>
  <si>
    <t>NACE C - 24 Manufacture of basic metals</t>
  </si>
  <si>
    <t>NACE C - 24.1 Manufacture of basic iron and steel and of ferro-alloys</t>
  </si>
  <si>
    <t>NACE C - 24.2 Manufacture of tubes, pipes, hollow profiles and related fittings, of steel</t>
  </si>
  <si>
    <t>NACE C - 24.3 Manufacture of other products of first processing of steel</t>
  </si>
  <si>
    <t>NACE C - 24.4 Manufacture of basic precious and other non-ferrous metals</t>
  </si>
  <si>
    <t>NACE C - 24.5 Casting of metals</t>
  </si>
  <si>
    <t>NACE C - 25 Manufacture of fabricated metal products, except machinery and equipment</t>
  </si>
  <si>
    <t>NACE C - 25.1 Manufacture of structural metal products</t>
  </si>
  <si>
    <t>NACE C - 25.2 Manufacture of tanks, reservoirs and containers of metal</t>
  </si>
  <si>
    <t>NACE C - 25.3 Manufacture of weapons and ammunition</t>
  </si>
  <si>
    <t>NACE C - 25.4 Forging and shaping metal and powder metallurgy</t>
  </si>
  <si>
    <t>NACE C - 25.5 Treatment and coating of metals; machining</t>
  </si>
  <si>
    <t>NACE C - 25.6 Manufacture of cutlery, tools and general hardware</t>
  </si>
  <si>
    <t>NACE C - 25.9 Manufacture of other fabricated metal products</t>
  </si>
  <si>
    <t>NACE C - 26 Manufacture of computer, electronic and optical products</t>
  </si>
  <si>
    <t>NACE C - 26.1 Manufacture of electronic components and boards</t>
  </si>
  <si>
    <t>NACE C - 26.2 Manufacture of computers and peripheral equipment</t>
  </si>
  <si>
    <t>NACE C - 26.3 Manufacture of communication equipment</t>
  </si>
  <si>
    <t>NACE C - 26.4 Manufacture of consumer electronics</t>
  </si>
  <si>
    <t>NACE C - 26.5 Manufacture of measuring testing instruments, clocks and watches</t>
  </si>
  <si>
    <t>NACE C - 26.6 Manufacture of irradiation, electromedical and electrotherapeutic equipment</t>
  </si>
  <si>
    <t>NACE C - 26.7 Manufacture of optical instruments, magnetic and optical media and photographic equipment</t>
  </si>
  <si>
    <t>NACE C - 27 Manufacture of electrical equipment</t>
  </si>
  <si>
    <t>NACE C - 27.1 Manufacture of electric motors, generators, transformers and electricity distribution and control apparatus</t>
  </si>
  <si>
    <t>NACE C - 27.2 Manufacture of batteries and accumulators</t>
  </si>
  <si>
    <t>NACE C - 27.3 Manufacture of wiring and wiring devices</t>
  </si>
  <si>
    <t>NACE C - 27.4 Manufacture of lighting equipment</t>
  </si>
  <si>
    <t>NACE C - 27.5 Manufacture of domestic appliances</t>
  </si>
  <si>
    <t>NACE C - 27.9 Manufacture of other electrical equipment</t>
  </si>
  <si>
    <t>NACE C - 28 Manufacture of machinery and equipment n.e.c.</t>
  </si>
  <si>
    <t>NACE C - 28.1 Manufacture of general-purpose machinery</t>
  </si>
  <si>
    <t>NACE C - 28.2 Manufacture of other general-purpose machinery</t>
  </si>
  <si>
    <t>NACE C - 28.3 Manufacture of agricultural and forestry machinery</t>
  </si>
  <si>
    <t>NACE C - 28.4 Manufacture of metal forming machinery and machine tools</t>
  </si>
  <si>
    <t>NACE C - 28.9 Manufacture of other special-purpose machinery</t>
  </si>
  <si>
    <t>NACE C - 29 Manufacture of motor vehicles, trailers and semi-trailers</t>
  </si>
  <si>
    <t>NACE C - 29.1 Manufacture of motor vehicles</t>
  </si>
  <si>
    <t>NACE C - 29.2 Manufacture of bodies and coachwork for motor vehicles; manufacture of trailers and semi-trailers</t>
  </si>
  <si>
    <t>NACE C - 29.3 Manufacture of motor vehicle parts and accessories</t>
  </si>
  <si>
    <t>NACE C - 30 Manufacture of other transport equipment</t>
  </si>
  <si>
    <t>NACE C - 30.1 Building of ships and boats</t>
  </si>
  <si>
    <t>NACE C - 30.2 Manufacture of railway locomotives and rolling stock</t>
  </si>
  <si>
    <t>NACE C - 30.3 Manufacture of air and spacecraft and related machinery</t>
  </si>
  <si>
    <t>NACE C - 30.4 Manufacture of military fighting vehicles</t>
  </si>
  <si>
    <t>NACE C - 30.9 Manufacture of transport equipment n.e.c.</t>
  </si>
  <si>
    <t>NACE C - 31 Manufacture of furniture</t>
  </si>
  <si>
    <t>NACE C - 31.0 Manufacture of furniture</t>
  </si>
  <si>
    <t>NACE C - 32 Other manufacturing</t>
  </si>
  <si>
    <t>NACE C - 32.1 Manufacture of jewellery, bijouterie and related articles</t>
  </si>
  <si>
    <t>NACE C - 32.2 Manufacture of musical instruments</t>
  </si>
  <si>
    <t>NACE C - 32.3 Manufacture of sports goods</t>
  </si>
  <si>
    <t>NACE C - 32.4 Manufacture of games and toys</t>
  </si>
  <si>
    <t>NACE C - 32.5 Manufacture of medical and dental instruments and supplies</t>
  </si>
  <si>
    <t>NACE C - 32.9 Manufacturing n.e.c.</t>
  </si>
  <si>
    <t>NACE C - 33 Repair, maintenance and installation of machinery and equipment</t>
  </si>
  <si>
    <t>NACE C - 33.1 Repair and maintenance of fabricated metal products, machinery and equipment</t>
  </si>
  <si>
    <t>NACE C - 33.2 Installation of industrial machinery and equipment</t>
  </si>
  <si>
    <t>NACE D - ELECTRICITY, GAS, STEAM AND AIR CONDITIONING SUPPLY</t>
  </si>
  <si>
    <t>NACE D - 35 Electricity, gas, steam and air conditioning supply</t>
  </si>
  <si>
    <t>NACE D - 35.1 Electric power generation, transmission and distribution</t>
  </si>
  <si>
    <t>NACE D - 35.2 Manufacture of gas, and distribution of gaseous fuels through mains</t>
  </si>
  <si>
    <t>NACE D - 35.3 Steam and air conditioning supply</t>
  </si>
  <si>
    <t>NACE D - 35.4 Activities of brokers and agents for electric power and natural gas</t>
  </si>
  <si>
    <t>NACE E - WATER SUPPLY; SEWERAGE, WASTE MANAGEMENT AND REMEDIATION ACTIVITIES</t>
  </si>
  <si>
    <t>NACE E - 36 Water collection, treatment and supply</t>
  </si>
  <si>
    <t>NACE E - 36.0 Water collection, treatment and supply</t>
  </si>
  <si>
    <t>NACE E - 37 Sewerage</t>
  </si>
  <si>
    <t>NACE E - 37.0 Sewerage</t>
  </si>
  <si>
    <t>NACE E - 38 Waste collection, recovery and disposal activities</t>
  </si>
  <si>
    <t>NACE E - 38.1 Waste collection</t>
  </si>
  <si>
    <t>NACE E - 38.2 Waste recovery</t>
  </si>
  <si>
    <t>NACE E - 38.3 Waste disposal without recovery</t>
  </si>
  <si>
    <t>NACE E - 39 Remediation activities and other waste management service activities</t>
  </si>
  <si>
    <t>NACE E - 39.0 Remediation activities and other waste management service activities</t>
  </si>
  <si>
    <t>NACE F - CONSTRUCTION</t>
  </si>
  <si>
    <t>NACE F - 41 Construction of residential and non-residential buildings</t>
  </si>
  <si>
    <t>NACE F - 41.0 Construction of residential and non-residential buildings</t>
  </si>
  <si>
    <t>NACE F - 42 Civil engineering</t>
  </si>
  <si>
    <t>NACE F - 42.1 Construction of roads and railways</t>
  </si>
  <si>
    <t>NACE F - 42.2 Construction of utility projects</t>
  </si>
  <si>
    <t>NACE F - 42.9 Construction of other civil engineering projects</t>
  </si>
  <si>
    <t>NACE F - 43 Specialised construction activities</t>
  </si>
  <si>
    <t>NACE F - 43.1 Demolition and site preparation</t>
  </si>
  <si>
    <t>NACE F - 43.2 Electrical, plumbing and other construction installation activities</t>
  </si>
  <si>
    <t>NACE F - 43.3 Building completion and finishing</t>
  </si>
  <si>
    <t>NACE F - 43.4 Specialised construction activities in construction of buildings</t>
  </si>
  <si>
    <t>NACE F - 43.5 Specialised construction activities in civil engineering</t>
  </si>
  <si>
    <t>NACE F - 43.6 Intermediation service activities for specialised construction services</t>
  </si>
  <si>
    <t>NACE F - 43.9 Other specialised construction activities</t>
  </si>
  <si>
    <t>NACE G - WHOLESALE AND RETAIL TRADE</t>
  </si>
  <si>
    <t>NACE G - 46 Wholesale trade</t>
  </si>
  <si>
    <t>NACE G - 46.1 Wholesale on a fee or contract basis</t>
  </si>
  <si>
    <t>NACE G - 46.2 Wholesale of agricultural raw materials and live animals</t>
  </si>
  <si>
    <t>NACE G - 46.3 Wholesale of food, beverages and tobacco</t>
  </si>
  <si>
    <t>NACE G - 46.4 Wholesale of household goods</t>
  </si>
  <si>
    <t>NACE G - 46.5 Wholesale of information and communication equipment</t>
  </si>
  <si>
    <t>NACE G - 46.6 Wholesale of other machinery, equipment and supplies</t>
  </si>
  <si>
    <t>NACE G - 46.7 Wholesale of motor vehicles, motorcycles and related parts and accessories</t>
  </si>
  <si>
    <t>NACE G - 46.8 Other specialised wholesale</t>
  </si>
  <si>
    <t>NACE G - 46.9 Non-specialised wholesale trade</t>
  </si>
  <si>
    <t>NACE G - 47 Retail trade</t>
  </si>
  <si>
    <t>NACE G - 47.1 Non-specialised retail sale</t>
  </si>
  <si>
    <t>NACE G - 47.2 Retail sale of food, beverages and tobacco</t>
  </si>
  <si>
    <t>NACE G - 47.3 Retail sale of automotive fuel</t>
  </si>
  <si>
    <t>NACE G - 47.4 Retail sale of information and communication equipment</t>
  </si>
  <si>
    <t>NACE G - 47.5 Retail sale of other household equipment</t>
  </si>
  <si>
    <t>NACE G - 47.6 Retail sale of cultural and recreation goods</t>
  </si>
  <si>
    <t>NACE G - 47.7 Retail sale of other goods, except motor vehicles and motorcycles</t>
  </si>
  <si>
    <t>NACE G - 47.8 Retail sale of motor vehicles, motorcycles and related parts and accessories</t>
  </si>
  <si>
    <t>NACE G - 47.9 Intermediation service activities for retail sale</t>
  </si>
  <si>
    <t>NACE H - TRANSPORTATION AND STORAGE</t>
  </si>
  <si>
    <t>NACE H - 49 Land transport and transport via pipelines</t>
  </si>
  <si>
    <t>NACE H - 49.1 Passenger rail transport</t>
  </si>
  <si>
    <t>NACE H - 49.2 Freight rail transport</t>
  </si>
  <si>
    <t>NACE H - 49.3 Other passenger land transport</t>
  </si>
  <si>
    <t>NACE H - 49.4 Freight transport by road and removal services</t>
  </si>
  <si>
    <t>NACE H - 49.5 Transport via pipeline</t>
  </si>
  <si>
    <t>NACE H - 50 Water transport</t>
  </si>
  <si>
    <t>NACE H - 50.1 Sea and coastal passenger water transport</t>
  </si>
  <si>
    <t>NACE H - 50.2 Sea and coastal freight water transport</t>
  </si>
  <si>
    <t>NACE H - 50.3 Inland passenger water transport</t>
  </si>
  <si>
    <t>NACE H - 50.4 Inland freight water transport</t>
  </si>
  <si>
    <t>NACE H - 51 Air transport</t>
  </si>
  <si>
    <t>NACE H - 51.1 Passenger air transport</t>
  </si>
  <si>
    <t>NACE H - 51.2 Freight air transport and space transport</t>
  </si>
  <si>
    <t>NACE H - 52 Warehousing, storage and support activities for transportation</t>
  </si>
  <si>
    <t>NACE H - 52.1 Warehousing and storage</t>
  </si>
  <si>
    <t>NACE H - 52.2 Support activities for transportation</t>
  </si>
  <si>
    <t>NACE H - 52.3 Intermediation service activities for transportation</t>
  </si>
  <si>
    <t>NACE H - 53 Postal and courier activities</t>
  </si>
  <si>
    <t>NACE H - 53.1 Postal activities under universal service obligation</t>
  </si>
  <si>
    <t>NACE H - 53.2 Other postal and courier activities</t>
  </si>
  <si>
    <t>NACE H - 53.3 Intermediation service activities for postal and courier activities</t>
  </si>
  <si>
    <t>NACE I - ACCOMMODATION AND FOOD SERVICE ACTIVITIES</t>
  </si>
  <si>
    <t>NACE I - 55 Accommodation</t>
  </si>
  <si>
    <t>NACE I - 55.1 Hotels and similar accommodation</t>
  </si>
  <si>
    <t>NACE I - 55.2 Holiday and other short-stay accommodation</t>
  </si>
  <si>
    <t>NACE I - 55.3 Camping grounds and recreational vehicle parks</t>
  </si>
  <si>
    <t>NACE I - 55.4 Intermediation service activities for accommodation</t>
  </si>
  <si>
    <t>NACE I - 55.9 Other accommodation</t>
  </si>
  <si>
    <t>NACE I - 56 Food and beverage service activities</t>
  </si>
  <si>
    <t>NACE I - 56.1 Restaurants and mobile food service activities</t>
  </si>
  <si>
    <t>NACE I - 56.2 Event catering, contract catering service activities and other food service activities</t>
  </si>
  <si>
    <t>NACE I - 56.21 Event catering activities</t>
  </si>
  <si>
    <t>NACE I - 56.3 Beverage serving activities</t>
  </si>
  <si>
    <t>NACE I - 56.4 Intermediation service activities for food and beverage services activities</t>
  </si>
  <si>
    <t>NACE J - PUBLISHING, BROADCASTING, AND CONTENT PRODUCTION AND DISTRIBUTION ACTIVITIES</t>
  </si>
  <si>
    <t>NACE J - 58 Publishing activities</t>
  </si>
  <si>
    <t>NACE J - 58.1 Publishing of books, newspapers and other publishing activities, except software publishing</t>
  </si>
  <si>
    <t>NACE J - 58.2 Software publishing</t>
  </si>
  <si>
    <t>NACE J - 59 Motion picture, video and television programme production, sound recording and music publishing activities</t>
  </si>
  <si>
    <t>NACE J - 59.1 Motion picture, video and television programme activities</t>
  </si>
  <si>
    <t>NACE J - 59.2 Sound recording and music publishing activities</t>
  </si>
  <si>
    <t>NACE J - 60 Programming, broadcasting, news agency and other content distribution activities</t>
  </si>
  <si>
    <t>NACE J - 60.1 Radio broadcasting and audio distribution activities</t>
  </si>
  <si>
    <t>NACE J - 60.2 Television programming, broadcasting and video distribution activities</t>
  </si>
  <si>
    <t>NACE J - 60.3 News agency and other content distribution activities</t>
  </si>
  <si>
    <t>NACE K - TELECOMMUNICATION, COMPUTER PROGRAMMING, CONSULTING, COMPUTING INFRASTRUCTURE AND OTHER INFORMATION SERVICE ACTIVITIES</t>
  </si>
  <si>
    <t>NACE K - 61 Telecommunication</t>
  </si>
  <si>
    <t>NACE K - 61.1 Wired, wireless, and satellite telecommunication activities</t>
  </si>
  <si>
    <t>NACE K - 61.2 Telecommunication reselling activities and intermediation service activities for telecommunication</t>
  </si>
  <si>
    <t>NACE K - 61.9 Other telecommunication activities</t>
  </si>
  <si>
    <t>NACE K - 62 Computer programming, consultancy and related activities</t>
  </si>
  <si>
    <t>NACE K - 62.1 Computer programming activities</t>
  </si>
  <si>
    <t>NACE K - 62.2 Computer consultancy and computer facilities management activities</t>
  </si>
  <si>
    <t>NACE K - 62.9 Other information technology and computer service activities</t>
  </si>
  <si>
    <t>NACE K - 63 Computing infrastructure, data processing, hosting and other information service activities</t>
  </si>
  <si>
    <t>NACE K - 63.1 Computing infrastructure, data processing, hosting and related activities</t>
  </si>
  <si>
    <t>NACE K - 63.9 Web search portal activities and other information service activities</t>
  </si>
  <si>
    <t>NACE L - FINANCIAL AND INSURANCE ACTIVITIES</t>
  </si>
  <si>
    <t>NACE L - 64 Financial service activities, except insurance and pension funding</t>
  </si>
  <si>
    <t>NACE L - 64.1 Monetary intermediation</t>
  </si>
  <si>
    <t>NACE L - 64.2 Activities of holding companies and financing conduits</t>
  </si>
  <si>
    <t>NACE L - 64.3 Activities of trusts, funds and similar financial entities</t>
  </si>
  <si>
    <t>NACE L - 64.9 Other financial service activities, except insurance and pension funding</t>
  </si>
  <si>
    <t>NACE L - 65 Insurance, reinsurance and pension funding, except compulsory social security</t>
  </si>
  <si>
    <t>NACE L - 65.1 Insurance</t>
  </si>
  <si>
    <t>NACE L - 65.2 Reinsurance</t>
  </si>
  <si>
    <t>NACE L - 65.3 Pension funding</t>
  </si>
  <si>
    <t>NACE L - 66 Activities auxiliary to financial services and insurance activities</t>
  </si>
  <si>
    <t>NACE L - 66.1 Activities auxiliary to financial services, except insurance and pension funding</t>
  </si>
  <si>
    <t>NACE L - 66.2 Activities auxiliary to insurance and pension funding</t>
  </si>
  <si>
    <t>NACE L - 66.3 Fund management activities</t>
  </si>
  <si>
    <t>NACE M - REAL ESTATE ACTIVITIES</t>
  </si>
  <si>
    <t>NACE M - 68 Real estate activities</t>
  </si>
  <si>
    <t>NACE M - 68.1 Real estate activities with own property and development of building projects</t>
  </si>
  <si>
    <t>NACE M - 68.2 Rental and operating of own or leased real estate</t>
  </si>
  <si>
    <t>NACE M - 68.3 Real estate activities on a fee or contract basis</t>
  </si>
  <si>
    <t>NACE N - PROFESSIONAL, SCIENTIFIC AND TECHNICAL ACTIVITIES</t>
  </si>
  <si>
    <t>NACE N - 69 Legal and accounting activities</t>
  </si>
  <si>
    <t>NACE N - 69.1 Legal activities</t>
  </si>
  <si>
    <t>NACE N - 69.2 Accounting, bookkeeping and auditing activities; tax consultancy</t>
  </si>
  <si>
    <t>NACE N - 70 Activities of head offices and management consultancy</t>
  </si>
  <si>
    <t>NACE N - 70.1 Activities of head offices</t>
  </si>
  <si>
    <t>NACE N - 70.2 Business and other management consultancy activities</t>
  </si>
  <si>
    <t>NACE N - 71 Architectural and engineering activities; technical testing and analysis</t>
  </si>
  <si>
    <t>NACE N - 71.1 Architectural and engineering activities and related technical consultancy</t>
  </si>
  <si>
    <t>NACE N - 71.2 Technical testing and analysis</t>
  </si>
  <si>
    <t>NACE N - 72 Scientific research and development</t>
  </si>
  <si>
    <t>NACE N - 72.1 Research and experimental development on natural sciences and engineering</t>
  </si>
  <si>
    <t>NACE N - 72.2 Research and experimental development on social sciences and humanities</t>
  </si>
  <si>
    <t>NACE N - 73 Activities of advertising, market research and public relations</t>
  </si>
  <si>
    <t>NACE N - 73.1 Advertising</t>
  </si>
  <si>
    <t>NACE N - 73.2 Market research and public opinion polling</t>
  </si>
  <si>
    <t>NACE N - 73.3 Public relations and communication activities</t>
  </si>
  <si>
    <t>NACE N - 74 Other professional, scientific and technical activities</t>
  </si>
  <si>
    <t>NACE N - 74.1 Specialised design activities</t>
  </si>
  <si>
    <t>NACE N - 74.2 Photographic activities</t>
  </si>
  <si>
    <t>NACE N - 74.3 Translation and interpretation activities</t>
  </si>
  <si>
    <t>NACE N - 74.9 Other professional, scientific and technical activities n.e.c.</t>
  </si>
  <si>
    <t>NACE N - 75 Veterinary activities</t>
  </si>
  <si>
    <t>NACE N - 75.0 Veterinary activities</t>
  </si>
  <si>
    <t>NACE O - ADMINISTRATIVE AND SUPPORT SERVICE ACTIVITIES</t>
  </si>
  <si>
    <t>NACE O - 77 Rental and leasing activities</t>
  </si>
  <si>
    <t>NACE O - 77.1 Rental and leasing of motor vehicles</t>
  </si>
  <si>
    <t>NACE O - 77.2 Rental and leasing of personal and household goods</t>
  </si>
  <si>
    <t>NACE O - 77.3 Rental and leasing of other machinery, equipment and tangible goods</t>
  </si>
  <si>
    <t>NACE O - 77.4 Leasing of intellectual property and similar products, except copyrighted works</t>
  </si>
  <si>
    <t>NACE O - 77.5 Intermediation service activities for rental and leasing of tangible goods and non-financial intangible assets</t>
  </si>
  <si>
    <t>NACE O - 78 Employment activities</t>
  </si>
  <si>
    <t>NACE O - 78.1 Activities of employment placement agencies</t>
  </si>
  <si>
    <t>NACE O - 78.2 Temporary employment agency activities and other human resource provisions</t>
  </si>
  <si>
    <t>NACE O - 79 Travel agency, tour operator and other reservation service and related activities</t>
  </si>
  <si>
    <t>NACE O - 79.1 Travel agency and tour operator activities</t>
  </si>
  <si>
    <t>NACE O - 79.9 Other reservation service and related activities</t>
  </si>
  <si>
    <t>NACE O - 80 Investigation and security activities</t>
  </si>
  <si>
    <t>NACE O - 80.0 Investigation and security activities</t>
  </si>
  <si>
    <t>NACE O - 81 Services to buildings and landscape activities</t>
  </si>
  <si>
    <t>NACE O - 81.1 Combined facilities support activities</t>
  </si>
  <si>
    <t>NACE O - 81.2 Cleaning activities</t>
  </si>
  <si>
    <t>NACE O - 81.3 Landscape service activities</t>
  </si>
  <si>
    <t>NACE O - 82 Office administrative, office support and other business support activities</t>
  </si>
  <si>
    <t>NACE O - 82.1 Office administrative and support activities</t>
  </si>
  <si>
    <t>NACE O - 82.2 Activities of call centres</t>
  </si>
  <si>
    <t>NACE O - 82.3 Organisation of conventions and trade shows</t>
  </si>
  <si>
    <t>NACE O - 82.4 Intermediation service activities for business support service activities n.e.c.</t>
  </si>
  <si>
    <t>NACE O - 82.9 Business support service activities n.e.c.</t>
  </si>
  <si>
    <t>NACE P - PUBLIC ADMINISTRATION AND DEFENCE; COMPULSORY SOCIAL SECURITY</t>
  </si>
  <si>
    <t>NACE P - 84 Public administration and defence; compulsory social security</t>
  </si>
  <si>
    <t>NACE P - 84.1 Administration of the State and the economic, social and environmental policies of the community</t>
  </si>
  <si>
    <t>NACE P - 84.2 Provision of services to the community as a whole</t>
  </si>
  <si>
    <t>NACE P - 84.3 Compulsory social security activities</t>
  </si>
  <si>
    <t>NACE Q - EDUCATION</t>
  </si>
  <si>
    <t>NACE Q - 85 Education</t>
  </si>
  <si>
    <t>NACE Q - 85.1 Pre-primary education</t>
  </si>
  <si>
    <t>NACE Q - 85.2 Primary education</t>
  </si>
  <si>
    <t>NACE Q - 85.3 Secondary and post-secondary non-tertiary education</t>
  </si>
  <si>
    <t>NACE Q - 85.4 Tertiary education</t>
  </si>
  <si>
    <t>NACE Q - 85.5 Other education</t>
  </si>
  <si>
    <t>NACE Q - 85.6 Educational support activities</t>
  </si>
  <si>
    <t>NACE R - HUMAN HEALTH AND SOCIAL WORK ACTIVITIES</t>
  </si>
  <si>
    <t>NACE R - 86 Human health activities</t>
  </si>
  <si>
    <t>NACE R - 86.1 Hospital activities</t>
  </si>
  <si>
    <t>NACE R - 86.2 Medical and dental practice activities</t>
  </si>
  <si>
    <t>NACE R - 86.9 Other human health activities</t>
  </si>
  <si>
    <t>NACE R - 87 Residential care activities</t>
  </si>
  <si>
    <t>NACE R - 87.1 Residential nursing care activities</t>
  </si>
  <si>
    <t>NACE R - 87.2 Residential care activities for persons living with or having a diagnosis of a mental illness or substance abuse</t>
  </si>
  <si>
    <t>NACE R - 87.3 Residential care activities for older persons or persons with physical disabilities</t>
  </si>
  <si>
    <t>NACE R - 87.9 Other residential care activities</t>
  </si>
  <si>
    <t>NACE R - 88 Social work activities without accommodation</t>
  </si>
  <si>
    <t>NACE R - 88.1 Social work activities without accommodation for older persons or persons with disabilities</t>
  </si>
  <si>
    <t>NACE R - 88.9 Other social work activities without accommodation</t>
  </si>
  <si>
    <t>NACE S - ARTS, SPORTS AND RECREATION</t>
  </si>
  <si>
    <t>NACE S - 90 Arts creation and performing arts activities</t>
  </si>
  <si>
    <t>NACE S - 90.1 Arts creation activities</t>
  </si>
  <si>
    <t>NACE S - 90.2 Activities of performing arts</t>
  </si>
  <si>
    <t>NACE S - 90.3 Support activities to arts creation and performing arts</t>
  </si>
  <si>
    <t>NACE S - 91 Libraries, archives, museums and other cultural activities</t>
  </si>
  <si>
    <t>NACE S - 91.1 Library and archive activities</t>
  </si>
  <si>
    <t>NACE S - 91.2 Museum, collection, historical site and monument activities</t>
  </si>
  <si>
    <t>NACE S - 91.3 Conservation, restoration and other support activities for cultural heritage</t>
  </si>
  <si>
    <t>NACE S - 91.4 Botanical and zoological garden and nature reserve activities</t>
  </si>
  <si>
    <t>NACE S - 92 Gambling and betting activities</t>
  </si>
  <si>
    <t>NACE S - 92.0 Gambling and betting activities</t>
  </si>
  <si>
    <t>NACE S - 93 Sports activities and amusement and recreation activities</t>
  </si>
  <si>
    <t>NACE S - 93.1 Sports activities</t>
  </si>
  <si>
    <t>NACE S - 93.2 Amusement and recreation activities</t>
  </si>
  <si>
    <t>NACE T - OTHER SERVICE ACTIVITIES</t>
  </si>
  <si>
    <t>NACE T - 94 Activities of membership organisations</t>
  </si>
  <si>
    <t>NACE T - 94.1 Activities of business, employers and professional membership organisations</t>
  </si>
  <si>
    <t>NACE T - 94.2 Activities of trade unions</t>
  </si>
  <si>
    <t>NACE T - 94.9 Activities of other membership organisations</t>
  </si>
  <si>
    <t>NACE T - 95 Repair and maintenance of computers, personal and household goods, and motor vehicles and motorcycles</t>
  </si>
  <si>
    <t>NACE T - 95.1 Repair and maintenance of computers and communication equipment</t>
  </si>
  <si>
    <t>NACE T - 95.2 Repair and maintenance of personal and household goods</t>
  </si>
  <si>
    <t>NACE T - 95.3 Repair and maintenance of motor vehicles and motorcycles</t>
  </si>
  <si>
    <t>NACE T - 95.4 Intermediation service activities for repair and maintenance of computers, personal and household goods, and motor vehicles and motorcycles</t>
  </si>
  <si>
    <t>NACE T - 96 Personal service activities</t>
  </si>
  <si>
    <t>NACE T - 96.1 Washing and cleaning of textile and fur products</t>
  </si>
  <si>
    <t>NACE T - 96.2 Hairdressing, beauty treatment, day spa and similar activities</t>
  </si>
  <si>
    <t>NACE T - 96.3 Funeral and related activities</t>
  </si>
  <si>
    <t>NACE T - 96.4 Intermediation service activities for personal services</t>
  </si>
  <si>
    <t>NACE T - 96.9 Other personal service activities</t>
  </si>
  <si>
    <t>NACE U - ACTIVITIES OF HOUSEHOLDS AS EMPLOYERS AND UNDIFFERENTIATED GOODS – AND SERVICE-PRODUCING ACTIVITIES OF HOUSEHOLDS FOR OWN USE</t>
  </si>
  <si>
    <t>NACE U - 97 Activities of households as employers of domestic personnel</t>
  </si>
  <si>
    <t>NACE U - 97.0 Activities of households as employers of domestic personnel</t>
  </si>
  <si>
    <t>NACE U - 98 Undifferentiated goods- and service-producing activities of private households for own use</t>
  </si>
  <si>
    <t>NACE U - 98.1 Undifferentiated goods-producing activities of private households for own use</t>
  </si>
  <si>
    <t>NACE U - 98.2 Undifferentiated service-producing activities of private households for own use</t>
  </si>
  <si>
    <t>NACE V - ACTIVITIES OF EXTRATERRITORIAL ORGANISATIONS AND BODIES</t>
  </si>
  <si>
    <t>NACE V - 99 Activities of extraterritorial organisations and bodies</t>
  </si>
  <si>
    <t>NACE V - 99.0 Activities of extraterritorial organisations and bodies</t>
  </si>
  <si>
    <t>NACE categories</t>
  </si>
  <si>
    <t>Arsenic and compounds (As)</t>
  </si>
  <si>
    <t>Cadmium and compounds (Cd)</t>
  </si>
  <si>
    <t>Chlorine and inorganic compounds (HCl)</t>
  </si>
  <si>
    <t>Chromium and compounds (Cr)</t>
  </si>
  <si>
    <t>Copper and compounds (Cu)</t>
  </si>
  <si>
    <t>Fluorine and inorganic compounds (HF)</t>
  </si>
  <si>
    <t>Halogenated organic compounds (AOX)</t>
  </si>
  <si>
    <t>Lead and compounds (Pb)</t>
  </si>
  <si>
    <t>Mercury and compounds (Hg)</t>
  </si>
  <si>
    <t>Nickel and compounds (Ni)</t>
  </si>
  <si>
    <t>Organotin compounds (total Sn)</t>
  </si>
  <si>
    <t>PCDD + PCDF (dioxins + furans) (Teq)</t>
  </si>
  <si>
    <t>Phenols (total C)</t>
  </si>
  <si>
    <t>Total organic carbon (TOC) (total C or COD/3)</t>
  </si>
  <si>
    <t>Zinc and compounds (Zn)</t>
  </si>
  <si>
    <t>Chlorides (total Cl)</t>
  </si>
  <si>
    <t>Cyanides (total CN)</t>
  </si>
  <si>
    <t>Fluorides (total F)</t>
  </si>
  <si>
    <t>1,2-dichloroethane (EDC)</t>
  </si>
  <si>
    <t>1,2,3,4,5,6-hexachlorocyclohexane (HCH)</t>
  </si>
  <si>
    <t>1,1,2,2-tetrachloroethane</t>
  </si>
  <si>
    <t>1,1,1-trichloroethane</t>
  </si>
  <si>
    <t>0. Provide information that is mandatory in order to generate the VSME and XBRL Report.</t>
  </si>
  <si>
    <t>Area</t>
  </si>
  <si>
    <t>Water discharge from undertaking production processes (m³)</t>
  </si>
  <si>
    <t>Base Year</t>
  </si>
  <si>
    <t>Target Year</t>
  </si>
  <si>
    <t>Gross Scope 1 GHG Emissions</t>
  </si>
  <si>
    <t>Gross Scope 2 location-based GHG Emissions</t>
  </si>
  <si>
    <t>Total Scope 1 and Scope 2 GHG Emissions (location-based)</t>
  </si>
  <si>
    <t>-</t>
  </si>
  <si>
    <t>Undertaking applies circular economy principles</t>
  </si>
  <si>
    <t>Specify other human rights related to the confirmed incidents</t>
  </si>
  <si>
    <t>Date of foreseen adoption of transition plan for undertaking not having adopted transition plan yet</t>
  </si>
  <si>
    <t>Total Renewable Energy [MWh]</t>
  </si>
  <si>
    <t>Total Non-renewable Energy [MWh]</t>
  </si>
  <si>
    <t>Related Site ID (select an ID from a site location reported in B1)</t>
  </si>
  <si>
    <t>Number of female board members at the end of the reporting period</t>
  </si>
  <si>
    <t>Number of male board members at the end of the reporting period</t>
  </si>
  <si>
    <t>Percentage reduction from base year</t>
  </si>
  <si>
    <t>Employee turnover rate [%]  in the reporting period</t>
  </si>
  <si>
    <t>Number of annual training hours per employee during the reporting period</t>
  </si>
  <si>
    <t>Description of climate-related hazards and climate-related transition events</t>
  </si>
  <si>
    <t>15. Investments</t>
  </si>
  <si>
    <t>hectares (ha)</t>
  </si>
  <si>
    <r>
      <t>cubic meters (m3</t>
    </r>
    <r>
      <rPr>
        <sz val="11"/>
        <color theme="1"/>
        <rFont val="Aptos Narrow"/>
        <family val="2"/>
      </rPr>
      <t>)</t>
    </r>
  </si>
  <si>
    <r>
      <t>squared meters (m2</t>
    </r>
    <r>
      <rPr>
        <sz val="11"/>
        <color theme="1"/>
        <rFont val="Aptos Narrow"/>
        <family val="2"/>
      </rPr>
      <t>)</t>
    </r>
  </si>
  <si>
    <t>Localization formula</t>
  </si>
  <si>
    <t>Longitude</t>
  </si>
  <si>
    <t>Latitude</t>
  </si>
  <si>
    <t>Longitude,Latitude ('General information!'K106:K130)</t>
  </si>
  <si>
    <t>Indicates that the datapoint (often a condition) will not be included in the VSME and digital XBRL report. These cells are provided to facilitate the completion of the disclosure as they either trigger the applicability of the disclosure or they enable the automatic calculation of the disclosure. If the yellow cells are not being used to calculate a value, the total that is to be reported can be entered manually overwriting by the formula.</t>
  </si>
  <si>
    <r>
      <t xml:space="preserve">List of currencies  </t>
    </r>
    <r>
      <rPr>
        <sz val="11"/>
        <color theme="1"/>
        <rFont val="Aptos Narrow"/>
        <family val="2"/>
        <scheme val="minor"/>
      </rPr>
      <t>(ISO 4217)</t>
    </r>
  </si>
  <si>
    <t>Total Energy [MWh]</t>
  </si>
  <si>
    <t>3. Fuel- and Energy-Related Activities (Not Included in Scope 1 or Scope 2)</t>
  </si>
  <si>
    <t>g</t>
  </si>
  <si>
    <t>hg</t>
  </si>
  <si>
    <t>Kg</t>
  </si>
  <si>
    <t>t</t>
  </si>
  <si>
    <t>Mg</t>
  </si>
  <si>
    <t>Gg</t>
  </si>
  <si>
    <t>Tg</t>
  </si>
  <si>
    <t>dag</t>
  </si>
  <si>
    <t>Undertaking has set a target which is related to a policy</t>
  </si>
  <si>
    <t>Description of target related to a policy</t>
  </si>
  <si>
    <t>Description of those key elements in the strategy that relate or affect sustainability issues</t>
  </si>
  <si>
    <r>
      <t>NACE Code List</t>
    </r>
    <r>
      <rPr>
        <sz val="11"/>
        <rFont val="Calibri"/>
        <family val="2"/>
      </rPr>
      <t xml:space="preserve"> (Commission Delegated Regulation (EU) 2023/137 of 10 October 2022 amending Regulation (EC) No 1893/2006 of the European Parliament and of the Council establishing the statistical classification of economic activities NACE Revision 2 (Text with EEA relevance) C/2022/7104)</t>
    </r>
  </si>
  <si>
    <t>Adoption of a transition plan is planned in the future</t>
  </si>
  <si>
    <t>Total Scope 3 GHG  emissions</t>
  </si>
  <si>
    <t>Typical renewability state</t>
  </si>
  <si>
    <t>Butane and isomers</t>
  </si>
  <si>
    <t>Gaseous</t>
  </si>
  <si>
    <t>Natural gas liquids (NGL)</t>
  </si>
  <si>
    <t>Kerosene</t>
  </si>
  <si>
    <t>Crude oil and distillates</t>
  </si>
  <si>
    <t>Main sources (density and NCV values in white cells):</t>
  </si>
  <si>
    <t>Additional sources (density and NCV values in red cells):</t>
  </si>
  <si>
    <t>a.</t>
  </si>
  <si>
    <t>b.</t>
  </si>
  <si>
    <t>c.</t>
  </si>
  <si>
    <t>d.</t>
  </si>
  <si>
    <t>e.</t>
  </si>
  <si>
    <t>f.</t>
  </si>
  <si>
    <t>g.</t>
  </si>
  <si>
    <t>h.</t>
  </si>
  <si>
    <t>i.</t>
  </si>
  <si>
    <t>l.</t>
  </si>
  <si>
    <t>m.</t>
  </si>
  <si>
    <t>n.</t>
  </si>
  <si>
    <t>o.</t>
  </si>
  <si>
    <t>p.</t>
  </si>
  <si>
    <t>q.</t>
  </si>
  <si>
    <t>r.</t>
  </si>
  <si>
    <t>s.</t>
  </si>
  <si>
    <t>t.</t>
  </si>
  <si>
    <t>j.</t>
  </si>
  <si>
    <t>k.</t>
  </si>
  <si>
    <t>Sulphite lyes (black liquor)</t>
  </si>
  <si>
    <t>Total water consumption (m³)</t>
  </si>
  <si>
    <t>Total amount of waste generated</t>
  </si>
  <si>
    <t>Total Hazardous waste generated (mass)</t>
  </si>
  <si>
    <t>Total Non-Hazardous waste generated (mass)</t>
  </si>
  <si>
    <t>Total waste generated (mass)</t>
  </si>
  <si>
    <t>Total Hazardous waste generated (volume)</t>
  </si>
  <si>
    <t>Total Non-Hazardous waste generated (volume)</t>
  </si>
  <si>
    <t>Total waste generated (volume)</t>
  </si>
  <si>
    <t>Disclosure of whether it has undertaken climate change adaptation actions for any climate-related hazards and transition events</t>
  </si>
  <si>
    <t>Taxonomy entry point:</t>
  </si>
  <si>
    <t>- CDP Technical Note: Conversion of fuel data to MWh (based on 2006 IPCC Guidelines for National Greenhouse Gas Inventories, published by the World Resources Institute/World Business Council for Sustainable     Development in their stationary combustion calculation tool version 3.1(1)),</t>
  </si>
  <si>
    <r>
      <rPr>
        <sz val="11"/>
        <rFont val="Aptos Narrow"/>
        <family val="2"/>
        <scheme val="minor"/>
      </rPr>
      <t xml:space="preserve">available at: </t>
    </r>
    <r>
      <rPr>
        <u/>
        <sz val="11"/>
        <color theme="10"/>
        <rFont val="Aptos Narrow"/>
        <family val="2"/>
        <scheme val="minor"/>
      </rPr>
      <t>https://cdn.cdp.net/cdp-production/cms/guidance_docs/pdfs/000/000/477/original/CDP-Conversion-of-fuel-data-to-MWh.pdf?1479755175</t>
    </r>
    <r>
      <rPr>
        <sz val="11"/>
        <rFont val="Aptos Narrow"/>
        <family val="2"/>
        <scheme val="minor"/>
      </rPr>
      <t>.</t>
    </r>
  </si>
  <si>
    <t>- a. Typical Density of Biogasoline,</t>
  </si>
  <si>
    <r>
      <rPr>
        <sz val="11"/>
        <rFont val="Aptos Narrow"/>
        <family val="2"/>
        <scheme val="minor"/>
      </rPr>
      <t xml:space="preserve">available at: </t>
    </r>
    <r>
      <rPr>
        <u/>
        <sz val="11"/>
        <color theme="10"/>
        <rFont val="Aptos Narrow"/>
        <family val="2"/>
        <scheme val="minor"/>
      </rPr>
      <t>https://www.engineeringtoolbox.com/gasoline-density-specific-heat-dynamic-kinematic-viscosity-thermal-conductivity-vs-temperature-d_2224.html</t>
    </r>
    <r>
      <rPr>
        <sz val="11"/>
        <rFont val="Aptos Narrow"/>
        <family val="2"/>
        <scheme val="minor"/>
      </rPr>
      <t>;</t>
    </r>
  </si>
  <si>
    <t>- b. Typical Density of Bitumen,</t>
  </si>
  <si>
    <r>
      <rPr>
        <sz val="11"/>
        <rFont val="Aptos Narrow"/>
        <family val="2"/>
        <scheme val="minor"/>
      </rPr>
      <t xml:space="preserve">available at: </t>
    </r>
    <r>
      <rPr>
        <u/>
        <sz val="11"/>
        <color theme="10"/>
        <rFont val="Aptos Narrow"/>
        <family val="2"/>
        <scheme val="minor"/>
      </rPr>
      <t>https://atdmco.com/wiki-density-of-bitumen/</t>
    </r>
    <r>
      <rPr>
        <sz val="11"/>
        <rFont val="Aptos Narrow"/>
        <family val="2"/>
        <scheme val="minor"/>
      </rPr>
      <t>;</t>
    </r>
  </si>
  <si>
    <t>- c. Typical Density of Blast furnace gas,</t>
  </si>
  <si>
    <r>
      <rPr>
        <sz val="11"/>
        <rFont val="Aptos Narrow"/>
        <family val="2"/>
        <scheme val="minor"/>
      </rPr>
      <t xml:space="preserve">available at: </t>
    </r>
    <r>
      <rPr>
        <u/>
        <sz val="11"/>
        <color theme="10"/>
        <rFont val="Aptos Narrow"/>
        <family val="2"/>
        <scheme val="minor"/>
      </rPr>
      <t>https://engineeringtoolbox.com/gas-density-d_158.html</t>
    </r>
    <r>
      <rPr>
        <u/>
        <sz val="11"/>
        <rFont val="Aptos Narrow"/>
        <family val="2"/>
        <scheme val="minor"/>
      </rPr>
      <t>;</t>
    </r>
  </si>
  <si>
    <t>- d. Typical Density of Butane and isomers,</t>
  </si>
  <si>
    <r>
      <rPr>
        <sz val="11"/>
        <rFont val="Aptos Narrow"/>
        <family val="2"/>
        <scheme val="minor"/>
      </rPr>
      <t xml:space="preserve">available at: </t>
    </r>
    <r>
      <rPr>
        <u/>
        <sz val="11"/>
        <color theme="10"/>
        <rFont val="Aptos Narrow"/>
        <family val="2"/>
        <scheme val="minor"/>
      </rPr>
      <t>https://www.energuide.be/en/questions-answers/what-is-the-calorific-value-of-gas/9655/</t>
    </r>
    <r>
      <rPr>
        <sz val="11"/>
        <rFont val="Aptos Narrow"/>
        <family val="2"/>
        <scheme val="minor"/>
      </rPr>
      <t>;</t>
    </r>
  </si>
  <si>
    <t>- e. Typical Density of Coke oven gas,</t>
  </si>
  <si>
    <r>
      <rPr>
        <sz val="11"/>
        <rFont val="Aptos Narrow"/>
        <family val="2"/>
        <scheme val="minor"/>
      </rPr>
      <t xml:space="preserve">available at: </t>
    </r>
    <r>
      <rPr>
        <u/>
        <sz val="11"/>
        <color theme="10"/>
        <rFont val="Aptos Narrow"/>
        <family val="2"/>
        <scheme val="minor"/>
      </rPr>
      <t>http://cyyenergy.com/en/Products/info_itemid_138.html</t>
    </r>
    <r>
      <rPr>
        <sz val="11"/>
        <rFont val="Aptos Narrow"/>
        <family val="2"/>
        <scheme val="minor"/>
      </rPr>
      <t>;</t>
    </r>
  </si>
  <si>
    <t>- f. Typical Density of Coke gas,</t>
  </si>
  <si>
    <r>
      <rPr>
        <sz val="11"/>
        <rFont val="Aptos Narrow"/>
        <family val="2"/>
        <scheme val="minor"/>
      </rPr>
      <t xml:space="preserve">available at: </t>
    </r>
    <r>
      <rPr>
        <u/>
        <sz val="11"/>
        <color theme="10"/>
        <rFont val="Aptos Narrow"/>
        <family val="2"/>
        <scheme val="minor"/>
      </rPr>
      <t>https://op.europa.eu/en/publication-detail/-/publication/eaa047e8-644c-4149-bdcb-9dde79c64a12</t>
    </r>
    <r>
      <rPr>
        <sz val="11"/>
        <rFont val="Aptos Narrow"/>
        <family val="2"/>
        <scheme val="minor"/>
      </rPr>
      <t>;</t>
    </r>
  </si>
  <si>
    <r>
      <rPr>
        <sz val="11"/>
        <rFont val="Aptos Narrow"/>
        <family val="2"/>
        <scheme val="minor"/>
      </rPr>
      <t xml:space="preserve">                              </t>
    </r>
    <r>
      <rPr>
        <u/>
        <sz val="11"/>
        <color theme="10"/>
        <rFont val="Aptos Narrow"/>
        <family val="2"/>
        <scheme val="minor"/>
      </rPr>
      <t>https://www.bhel.com/sites/default/files/gas-properties-cog-1580716150.pdf</t>
    </r>
    <r>
      <rPr>
        <u/>
        <sz val="11"/>
        <rFont val="Aptos Narrow"/>
        <family val="2"/>
        <scheme val="minor"/>
      </rPr>
      <t>;</t>
    </r>
  </si>
  <si>
    <t>- g. Typical Density of Jet gasoline,</t>
  </si>
  <si>
    <r>
      <rPr>
        <sz val="11"/>
        <rFont val="Aptos Narrow"/>
        <family val="2"/>
        <scheme val="minor"/>
      </rPr>
      <t xml:space="preserve">available at: </t>
    </r>
    <r>
      <rPr>
        <u/>
        <sz val="11"/>
        <color theme="10"/>
        <rFont val="Aptos Narrow"/>
        <family val="2"/>
        <scheme val="minor"/>
      </rPr>
      <t>https://www.engineeringtoolbox.com/fuels-densities-specific-volumes-d_166.html;</t>
    </r>
  </si>
  <si>
    <r>
      <rPr>
        <sz val="11"/>
        <color theme="10"/>
        <rFont val="Aptos Narrow"/>
        <family val="2"/>
        <scheme val="minor"/>
      </rPr>
      <t xml:space="preserve">                               </t>
    </r>
    <r>
      <rPr>
        <u/>
        <sz val="11"/>
        <color theme="10"/>
        <rFont val="Aptos Narrow"/>
        <family val="2"/>
        <scheme val="minor"/>
      </rPr>
      <t>https://www.exxonmobil.com/en-bd/commercial-fuel/pds/gl-xx-jetfuel-series;</t>
    </r>
  </si>
  <si>
    <t>- h. Typical NCV of Methane,</t>
  </si>
  <si>
    <r>
      <rPr>
        <sz val="11"/>
        <rFont val="Aptos Narrow"/>
        <family val="2"/>
        <scheme val="minor"/>
      </rPr>
      <t xml:space="preserve">available at: </t>
    </r>
    <r>
      <rPr>
        <u/>
        <sz val="11"/>
        <color theme="10"/>
        <rFont val="Aptos Narrow"/>
        <family val="2"/>
        <scheme val="minor"/>
      </rPr>
      <t>https://eur-lex.europa.eu/eli/reg_impl/2018/2066/oj/eng#:~:text=Commission%20Implementing%20Regulation%20(EU)%202018,(Text%20with%20EEA%20relevance.);</t>
    </r>
  </si>
  <si>
    <t>- i. Typical Density of Oil shale and tar sands;</t>
  </si>
  <si>
    <r>
      <rPr>
        <sz val="11"/>
        <rFont val="Aptos Narrow"/>
        <family val="2"/>
        <scheme val="minor"/>
      </rPr>
      <t xml:space="preserve">available at: </t>
    </r>
    <r>
      <rPr>
        <u/>
        <sz val="11"/>
        <color theme="10"/>
        <rFont val="Aptos Narrow"/>
        <family val="2"/>
        <scheme val="minor"/>
      </rPr>
      <t>https://osf.io/s2qbt;</t>
    </r>
  </si>
  <si>
    <r>
      <rPr>
        <sz val="11"/>
        <color theme="10"/>
        <rFont val="Aptos Narrow"/>
        <family val="2"/>
        <scheme val="minor"/>
      </rPr>
      <t xml:space="preserve">                               </t>
    </r>
    <r>
      <rPr>
        <u/>
        <sz val="11"/>
        <color theme="10"/>
        <rFont val="Aptos Narrow"/>
        <family val="2"/>
        <scheme val="minor"/>
      </rPr>
      <t>https://www.researchgate.net/figure/Density-and-viscosity-of-shale-oil-in-Lucaogou-Formation-Jimsar-Sag_tbl1_336793871;</t>
    </r>
  </si>
  <si>
    <t>- j. Typical  Density of Orimulsion,</t>
  </si>
  <si>
    <r>
      <rPr>
        <sz val="11"/>
        <rFont val="Aptos Narrow"/>
        <family val="2"/>
        <scheme val="minor"/>
      </rPr>
      <t xml:space="preserve">available at: </t>
    </r>
    <r>
      <rPr>
        <u/>
        <sz val="11"/>
        <color theme="10"/>
        <rFont val="Aptos Narrow"/>
        <family val="2"/>
        <scheme val="minor"/>
      </rPr>
      <t>https://archive.epa.gov/emergencies/content/fss/web/pdf/orimuls.pdf;</t>
    </r>
  </si>
  <si>
    <t>- k. Typical NCV of Oxygen steel furnace gas,</t>
  </si>
  <si>
    <r>
      <rPr>
        <sz val="11"/>
        <rFont val="Aptos Narrow"/>
        <family val="2"/>
        <scheme val="minor"/>
      </rPr>
      <t xml:space="preserve">available at: </t>
    </r>
    <r>
      <rPr>
        <u/>
        <sz val="11"/>
        <color theme="10"/>
        <rFont val="Aptos Narrow"/>
        <family val="2"/>
        <scheme val="minor"/>
      </rPr>
      <t>https://op.europa.eu/en/publication-detail/-/publication/eaa047e8-644c-4149-bdcb-9dde79c64a12;</t>
    </r>
  </si>
  <si>
    <t>- l. Typical density of Propane,</t>
  </si>
  <si>
    <r>
      <rPr>
        <sz val="11"/>
        <rFont val="Aptos Narrow"/>
        <family val="2"/>
        <scheme val="minor"/>
      </rPr>
      <t xml:space="preserve">available at: </t>
    </r>
    <r>
      <rPr>
        <u/>
        <sz val="11"/>
        <color theme="10"/>
        <rFont val="Aptos Narrow"/>
        <family val="2"/>
        <scheme val="minor"/>
      </rPr>
      <t>https://www.engineeringtoolbox.com/propane-C3H8-density-specific-weight-temperature-pressure-d_2033.html?vA=15&amp;degree;</t>
    </r>
  </si>
  <si>
    <t>- m. Typical Density of Refinery feedstocks,</t>
  </si>
  <si>
    <r>
      <rPr>
        <sz val="11"/>
        <rFont val="Aptos Narrow"/>
        <family val="2"/>
        <scheme val="minor"/>
      </rPr>
      <t xml:space="preserve">available at: </t>
    </r>
    <r>
      <rPr>
        <u/>
        <sz val="11"/>
        <color theme="10"/>
        <rFont val="Aptos Narrow"/>
        <family val="2"/>
        <scheme val="minor"/>
      </rPr>
      <t>https://eippcb.jrc.ec.europa.eu/sites/default/files/2020-03/superseded_ref_bref-0203.pdf;</t>
    </r>
  </si>
  <si>
    <t>- n.  Typical Density of Refinery gas,</t>
  </si>
  <si>
    <r>
      <rPr>
        <sz val="11"/>
        <rFont val="Aptos Narrow"/>
        <family val="2"/>
        <scheme val="minor"/>
      </rPr>
      <t xml:space="preserve">available at: </t>
    </r>
    <r>
      <rPr>
        <u/>
        <sz val="11"/>
        <color theme="10"/>
        <rFont val="Aptos Narrow"/>
        <family val="2"/>
        <scheme val="minor"/>
      </rPr>
      <t>http://www.ipcc-nggip.iges.or.jp/efdb/find_ef_ft.php;</t>
    </r>
  </si>
  <si>
    <t>- o. Typical Density of Sulphite lyes (black liquor),</t>
  </si>
  <si>
    <r>
      <rPr>
        <sz val="11"/>
        <rFont val="Aptos Narrow"/>
        <family val="2"/>
        <scheme val="minor"/>
      </rPr>
      <t xml:space="preserve">available at: </t>
    </r>
    <r>
      <rPr>
        <u/>
        <sz val="11"/>
        <color theme="10"/>
        <rFont val="Aptos Narrow"/>
        <family val="2"/>
        <scheme val="minor"/>
      </rPr>
      <t>https://captainslog.gr/wp-content/uploads/2020/12/Sulphite-Lye-Cafn.pdf;</t>
    </r>
  </si>
  <si>
    <t>- p. Typical NCV of Turpentine,</t>
  </si>
  <si>
    <r>
      <rPr>
        <sz val="11"/>
        <rFont val="Aptos Narrow"/>
        <family val="2"/>
        <scheme val="minor"/>
      </rPr>
      <t xml:space="preserve">available at: </t>
    </r>
    <r>
      <rPr>
        <u/>
        <sz val="11"/>
        <color theme="10"/>
        <rFont val="Aptos Narrow"/>
        <family val="2"/>
        <scheme val="minor"/>
      </rPr>
      <t>https://iopscience.iop.org/article/10.1088/1757-899X/912/4/042075;</t>
    </r>
  </si>
  <si>
    <t>- q. Typical NCV of Vegetable oils,</t>
  </si>
  <si>
    <r>
      <rPr>
        <sz val="11"/>
        <rFont val="Aptos Narrow"/>
        <family val="2"/>
        <scheme val="minor"/>
      </rPr>
      <t xml:space="preserve">available at: </t>
    </r>
    <r>
      <rPr>
        <u/>
        <sz val="11"/>
        <color theme="10"/>
        <rFont val="Aptos Narrow"/>
        <family val="2"/>
        <scheme val="minor"/>
      </rPr>
      <t>https://www.engineeringtoolbox.com/fuels-higher-calorific-values-d_169.html;</t>
    </r>
  </si>
  <si>
    <t>- r. Typical Density pf Waste oils,</t>
  </si>
  <si>
    <r>
      <rPr>
        <sz val="11"/>
        <rFont val="Aptos Narrow"/>
        <family val="2"/>
        <scheme val="minor"/>
      </rPr>
      <t xml:space="preserve">available at: </t>
    </r>
    <r>
      <rPr>
        <u/>
        <sz val="11"/>
        <color theme="10"/>
        <rFont val="Aptos Narrow"/>
        <family val="2"/>
        <scheme val="minor"/>
      </rPr>
      <t>https://ehs.cranesville.com/msds.pdfs/MSDS(U003).pdf;</t>
    </r>
  </si>
  <si>
    <t>- s. Typical NCV of Waste water treatment biogas,</t>
  </si>
  <si>
    <r>
      <rPr>
        <sz val="11"/>
        <rFont val="Aptos Narrow"/>
        <family val="2"/>
        <scheme val="minor"/>
      </rPr>
      <t xml:space="preserve">available at: </t>
    </r>
    <r>
      <rPr>
        <u/>
        <sz val="11"/>
        <color theme="10"/>
        <rFont val="Aptos Narrow"/>
        <family val="2"/>
        <scheme val="minor"/>
      </rPr>
      <t>https://www.mdpi.com/2673-5628/5/1/6;</t>
    </r>
  </si>
  <si>
    <t>- t. Typical Density of White Spirit &amp; SBP,</t>
  </si>
  <si>
    <r>
      <rPr>
        <sz val="11"/>
        <rFont val="Aptos Narrow"/>
        <family val="2"/>
        <scheme val="minor"/>
      </rPr>
      <t xml:space="preserve">available at: </t>
    </r>
    <r>
      <rPr>
        <u/>
        <sz val="11"/>
        <color theme="10"/>
        <rFont val="Aptos Narrow"/>
        <family val="2"/>
        <scheme val="minor"/>
      </rPr>
      <t>https://www.shell.com/business-customers/chemicals/our-products/solvents-hydrocarbon/special-boiling-point-solvents/sbp-140-165.html.</t>
    </r>
  </si>
  <si>
    <t>Overall Validation Status</t>
  </si>
  <si>
    <t>Table of Contents</t>
  </si>
  <si>
    <t>Contents grouping follows template's framework</t>
  </si>
  <si>
    <t>Specific Content Validation Status</t>
  </si>
  <si>
    <t>General Information</t>
  </si>
  <si>
    <t>Environmental Disclosures</t>
  </si>
  <si>
    <t>Social Disclosures</t>
  </si>
  <si>
    <t>Governance Disclosures</t>
  </si>
  <si>
    <t>· B5 - Biodiversity</t>
  </si>
  <si>
    <t>Mass and Volume</t>
  </si>
  <si>
    <t>The converter offers the possibility of calculating simultaneously up to 10 different types of fuel. To do this please expand the hidden columns using the plus icon on the top of the document.
Each expanded fuel converter works exactly as explained above.
It’s important to note that the automatic calculation performed by the Fuel Converter is done using NCVs and Densities that are typical for that specific type of fuel. If the undertaking is able to provide the specific NCVs and Densities of the Fuels used, there is the possibility to calculate the Energy Consumption per Hour in MWh embedding the specific values in the formulas that are automatized in the Fuel Converter sheet.
Below there are the formulas, just in case the solution of a not-automatized calculation using specific values is preferred to the one of the Converter. If you need to convert the Unit of Measurement of your specific measures, please use the Unit of Measurement Converter.</t>
  </si>
  <si>
    <t>Further notes:</t>
  </si>
  <si>
    <t>Usage of Fuel Converter:</t>
  </si>
  <si>
    <t>Financial investment in the capital or assets of social economy entities referred to in the Council Recommendation of 29 September 2023 (excluding donations and contributions)</t>
  </si>
  <si>
    <t>· B2 - Practices, policies and future initiatives for transitioning towards a more sustainable economy</t>
  </si>
  <si>
    <t>Source</t>
  </si>
  <si>
    <t>Days</t>
  </si>
  <si>
    <t>Is the undertaking disclosing entity-specific information on Scope 3 emissions (in tCO2e)?</t>
  </si>
  <si>
    <t>Identifier (context identifier scheme)</t>
  </si>
  <si>
    <t>LEI</t>
  </si>
  <si>
    <t>DUNS</t>
  </si>
  <si>
    <t>EU ID</t>
  </si>
  <si>
    <t>PermID</t>
  </si>
  <si>
    <t>Identifier of the reporting entity (select and specify on the right)</t>
  </si>
  <si>
    <t>· Information on the report necessary for  XBRL</t>
  </si>
  <si>
    <t>· Information on previous reporting period</t>
  </si>
  <si>
    <t>· B1 - Basis for Preparation</t>
  </si>
  <si>
    <t>· C1 - Strategy: Business Model and Sustainability – Related Initiatives</t>
  </si>
  <si>
    <t>· C2 - Description of practices, policies and future initiatives for transitioning towards a more sustainable economy</t>
  </si>
  <si>
    <t>· Disclosure of any other general and/or entity specific information on the reporting period</t>
  </si>
  <si>
    <t>· B3 - Energy and greenhouse gas emissions</t>
  </si>
  <si>
    <t>· B4 - Pollution of air, water and soil</t>
  </si>
  <si>
    <t>· B6 - Water</t>
  </si>
  <si>
    <t>· B7 - Resource use, circular economy and waste management</t>
  </si>
  <si>
    <t>· C3 - GHG reduction targets and climate transition</t>
  </si>
  <si>
    <t>· C4 - Climate risks</t>
  </si>
  <si>
    <t>· B8 - Workforce - General characteristics</t>
  </si>
  <si>
    <t>· B9 - Workforce – Health and safety</t>
  </si>
  <si>
    <t>· C5 - Additional (general) workforce characteristics</t>
  </si>
  <si>
    <t>· C6 - Additional own workforce information - Human rights policies and processes</t>
  </si>
  <si>
    <t>· C7 - Severe negative human rights incidents</t>
  </si>
  <si>
    <t>· Disclosure of any other social and/or entity specific social disclosures</t>
  </si>
  <si>
    <t>· B11 - Convictions and fines for corruption and bribery</t>
  </si>
  <si>
    <t>· C9 - Gender diversity ratio in the governance body</t>
  </si>
  <si>
    <t>· Disclosure of any other governance and/or entity specific governance disclosures</t>
  </si>
  <si>
    <t>MIT License</t>
  </si>
  <si>
    <t>Copyright (c) 2025 EFRAG</t>
  </si>
  <si>
    <t>Permission is hereby granted, free of charge, to any person obtaining a copy</t>
  </si>
  <si>
    <t>of this software and associated documentation files (the "Software"), to deal</t>
  </si>
  <si>
    <t>in the Software without restriction, including without limitation the rights</t>
  </si>
  <si>
    <t>to use, copy, modify, merge, publish, distribute, sublicense, and/or sell</t>
  </si>
  <si>
    <t>copies of the Software, and to permit persons to whom the Software is</t>
  </si>
  <si>
    <t>furnished to do so, subject to the following conditions:</t>
  </si>
  <si>
    <t>The above copyright notice and this permission notice shall be included in all</t>
  </si>
  <si>
    <t>copies or substantial portions of the Software.</t>
  </si>
  <si>
    <t>THE SOFTWARE IS PROVIDED "AS IS", WITHOUT WARRANTY OF ANY KIND, EXPRESS OR</t>
  </si>
  <si>
    <t>IMPLIED, INCLUDING BUT NOT LIMITED TO THE WARRANTIES OF MERCHANTABILITY,</t>
  </si>
  <si>
    <t>FITNESS FOR A PARTICULAR PURPOSE AND NONINFRINGEMENT. IN NO EVENT SHALL THE</t>
  </si>
  <si>
    <t>AUTHORS OR COPYRIGHT HOLDERS BE LIABLE FOR ANY CLAIM, DAMAGES OR OTHER</t>
  </si>
  <si>
    <t>LIABILITY, WHETHER IN AN ACTION OF CONTRACT, TORT OR OTHERWISE, ARISING FROM,</t>
  </si>
  <si>
    <t>OUT OF OR IN CONNECTION WITH THE SOFTWARE OR THE USE OR OTHER DEALINGS IN THE</t>
  </si>
  <si>
    <t>SOFTWARE.</t>
  </si>
  <si>
    <t>Additional Disclosures</t>
  </si>
  <si>
    <t>VSME Digital Template</t>
  </si>
  <si>
    <t>24(e)(v)</t>
  </si>
  <si>
    <t>38(a) and 38(b)</t>
  </si>
  <si>
    <t>62(c)</t>
  </si>
  <si>
    <t>Paragraph Guidance Reference</t>
  </si>
  <si>
    <t>Paragraph Reference</t>
  </si>
  <si>
    <t>24(a)</t>
  </si>
  <si>
    <t>24(b)</t>
  </si>
  <si>
    <t>24(c)</t>
  </si>
  <si>
    <t>24(e)(ii)</t>
  </si>
  <si>
    <t>24(e)(iii)</t>
  </si>
  <si>
    <t>24(e)(iv)</t>
  </si>
  <si>
    <t>24(e)(vi)</t>
  </si>
  <si>
    <t>24(d)</t>
  </si>
  <si>
    <t>24(e)(vii)</t>
  </si>
  <si>
    <t>26-28</t>
  </si>
  <si>
    <t>47(a)</t>
  </si>
  <si>
    <t>47(b)</t>
  </si>
  <si>
    <t>47(c)</t>
  </si>
  <si>
    <t>47(d)</t>
  </si>
  <si>
    <t>54(b)</t>
  </si>
  <si>
    <t>54(a)</t>
  </si>
  <si>
    <t xml:space="preserve">54(d) </t>
  </si>
  <si>
    <t>50-53</t>
  </si>
  <si>
    <t>54(e)</t>
  </si>
  <si>
    <t>38(c)</t>
  </si>
  <si>
    <t>57(a)</t>
  </si>
  <si>
    <t>57(b)</t>
  </si>
  <si>
    <t>57(c)</t>
  </si>
  <si>
    <t>57(d)</t>
  </si>
  <si>
    <t>39(a)</t>
  </si>
  <si>
    <t>39(b)</t>
  </si>
  <si>
    <t>39(c)</t>
  </si>
  <si>
    <t>41(a)</t>
  </si>
  <si>
    <t>41(b)</t>
  </si>
  <si>
    <t>42(a)</t>
  </si>
  <si>
    <t>42(b)</t>
  </si>
  <si>
    <t>42(c)</t>
  </si>
  <si>
    <t>42(d)</t>
  </si>
  <si>
    <t>61(a)</t>
  </si>
  <si>
    <t>61(b)</t>
  </si>
  <si>
    <t>61(c)</t>
  </si>
  <si>
    <t>62(a)</t>
  </si>
  <si>
    <t>62(b)</t>
  </si>
  <si>
    <t>63(a)</t>
  </si>
  <si>
    <t>63(b)</t>
  </si>
  <si>
    <t>63(c)</t>
  </si>
  <si>
    <t>63(d)</t>
  </si>
  <si>
    <t>2. Find more information on the actual disclosure requirements in the VSME Standard and the related guidance linked to each cell. Additional or entity-specific disclosures can be provided in each text box at the end of each worksheet.</t>
  </si>
  <si>
    <t>Indicates that the cell is automatically calculated and that no data entry is required.</t>
  </si>
  <si>
    <t>Validation MISSING VALUE/ERROR/VALUE INCONSISTENCY/INVALID URL</t>
  </si>
  <si>
    <t>Indicates that the cell should be filled either by selecting a value from the dropdown (e.g. Type of fuel or Unit of Measurement) or by entering an amount.</t>
  </si>
  <si>
    <t>Day</t>
  </si>
  <si>
    <r>
      <t>Pollutants</t>
    </r>
    <r>
      <rPr>
        <sz val="11"/>
        <color theme="1"/>
        <rFont val="Aptos Narrow"/>
        <family val="2"/>
        <scheme val="minor"/>
      </rPr>
      <t xml:space="preserve"> (Regulation (EU) 2024/1244 of the European Parliament and of the Council of 24 April 2024 on reporting of environmental data from industrial installations, establishing an Industrial Emissions Portal and repealing Regulation (EC) No 166/2006)</t>
    </r>
  </si>
  <si>
    <t>AED</t>
  </si>
  <si>
    <t>AFN</t>
  </si>
  <si>
    <t>ALL</t>
  </si>
  <si>
    <t>AMD</t>
  </si>
  <si>
    <t>ANG</t>
  </si>
  <si>
    <t>AOA</t>
  </si>
  <si>
    <t>ARS</t>
  </si>
  <si>
    <t>AUD</t>
  </si>
  <si>
    <t>AWG</t>
  </si>
  <si>
    <t>AZN</t>
  </si>
  <si>
    <t>BAM</t>
  </si>
  <si>
    <t>BBD</t>
  </si>
  <si>
    <t>BDT</t>
  </si>
  <si>
    <t>BGN</t>
  </si>
  <si>
    <t>BHD</t>
  </si>
  <si>
    <t>BIF</t>
  </si>
  <si>
    <t>BMD</t>
  </si>
  <si>
    <t>BND</t>
  </si>
  <si>
    <t>BOB</t>
  </si>
  <si>
    <t>BOV</t>
  </si>
  <si>
    <t>BRL</t>
  </si>
  <si>
    <t>BSD</t>
  </si>
  <si>
    <t>BTN</t>
  </si>
  <si>
    <t>BWP</t>
  </si>
  <si>
    <t>BZD</t>
  </si>
  <si>
    <t>CAD</t>
  </si>
  <si>
    <t>CDF</t>
  </si>
  <si>
    <t>CHE</t>
  </si>
  <si>
    <t>CHF</t>
  </si>
  <si>
    <t>CHW</t>
  </si>
  <si>
    <t>CLF</t>
  </si>
  <si>
    <t>CLP</t>
  </si>
  <si>
    <t>CNY</t>
  </si>
  <si>
    <t>COP</t>
  </si>
  <si>
    <t>COU</t>
  </si>
  <si>
    <t>CRC</t>
  </si>
  <si>
    <t>CUC</t>
  </si>
  <si>
    <t>CUP</t>
  </si>
  <si>
    <t>CVE</t>
  </si>
  <si>
    <t>CZK</t>
  </si>
  <si>
    <t>DJF</t>
  </si>
  <si>
    <t>DKK</t>
  </si>
  <si>
    <t>DOP</t>
  </si>
  <si>
    <t>DZD</t>
  </si>
  <si>
    <t>EGP</t>
  </si>
  <si>
    <t>ERN</t>
  </si>
  <si>
    <t>ETB</t>
  </si>
  <si>
    <t>EUR</t>
  </si>
  <si>
    <t>FJD</t>
  </si>
  <si>
    <t>FKP</t>
  </si>
  <si>
    <t>GBP</t>
  </si>
  <si>
    <t>GEL</t>
  </si>
  <si>
    <t>GHS</t>
  </si>
  <si>
    <t>GIP</t>
  </si>
  <si>
    <t>GMD</t>
  </si>
  <si>
    <t>GNF</t>
  </si>
  <si>
    <t>GTQ</t>
  </si>
  <si>
    <t>GYD</t>
  </si>
  <si>
    <t>HKD</t>
  </si>
  <si>
    <t>HNL</t>
  </si>
  <si>
    <t>HRK</t>
  </si>
  <si>
    <t>HTG</t>
  </si>
  <si>
    <t>HUF</t>
  </si>
  <si>
    <t>IDR</t>
  </si>
  <si>
    <t>ILS</t>
  </si>
  <si>
    <t>INR</t>
  </si>
  <si>
    <t>IQD</t>
  </si>
  <si>
    <t>IRR</t>
  </si>
  <si>
    <t>ISK</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</si>
  <si>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</si>
  <si>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</si>
  <si>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</si>
  <si>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</si>
  <si>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</si>
  <si>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</si>
  <si>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</si>
  <si>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</si>
  <si>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</si>
  <si>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</si>
  <si>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</si>
  <si>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</si>
  <si>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</si>
  <si>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</si>
  <si>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</si>
  <si>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</si>
  <si>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</si>
  <si>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</si>
  <si>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</si>
  <si>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</si>
  <si>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</si>
  <si>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</si>
  <si>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</si>
  <si>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</si>
  <si>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</si>
  <si>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</si>
  <si>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</si>
  <si>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</si>
  <si>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</si>
  <si>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</si>
  <si>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MXV</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</si>
  <si>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</si>
  <si>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</si>
  <si>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</si>
  <si>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</si>
  <si>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</si>
  <si>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</si>
  <si>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</si>
  <si>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</si>
  <si>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</si>
  <si>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</si>
  <si>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</si>
  <si>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</si>
  <si>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</si>
  <si>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</si>
  <si>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</si>
  <si>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</si>
  <si>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</si>
  <si>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</si>
  <si>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</si>
  <si>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</si>
  <si>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</si>
  <si>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</si>
  <si>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</si>
  <si>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</si>
  <si>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</si>
  <si>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</si>
  <si>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</si>
  <si>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</si>
  <si>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</si>
  <si>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</si>
  <si>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SRD</t>
  </si>
  <si>
    <t>SSP</t>
  </si>
  <si>
    <t>STD</t>
  </si>
  <si>
    <t>SVC</t>
  </si>
  <si>
    <t>SYP</t>
  </si>
  <si>
    <t>SZL</t>
  </si>
  <si>
    <t>THB</t>
  </si>
  <si>
    <t>TJS</t>
  </si>
  <si>
    <t>TMT</t>
  </si>
  <si>
    <t>TND</t>
  </si>
  <si>
    <t>TOP</t>
  </si>
  <si>
    <t>TRY</t>
  </si>
  <si>
    <t>TTD</t>
  </si>
  <si>
    <t>TWD</t>
  </si>
  <si>
    <t>TZS</t>
  </si>
  <si>
    <t>UAH</t>
  </si>
  <si>
    <t>UGX</t>
  </si>
  <si>
    <t>USD</t>
  </si>
  <si>
    <t>UYI</t>
  </si>
  <si>
    <t>UYU</t>
  </si>
  <si>
    <t>UZS</t>
  </si>
  <si>
    <t>VES</t>
  </si>
  <si>
    <t>VND</t>
  </si>
  <si>
    <t>VUV</t>
  </si>
  <si>
    <t>WST</t>
  </si>
  <si>
    <t>XAF</t>
  </si>
  <si>
    <t>XAG</t>
  </si>
  <si>
    <t>XAU</t>
  </si>
  <si>
    <t>XCD</t>
  </si>
  <si>
    <t>XDR</t>
  </si>
  <si>
    <t>XOF</t>
  </si>
  <si>
    <t>XPD</t>
  </si>
  <si>
    <t>XPF</t>
  </si>
  <si>
    <t>XPT</t>
  </si>
  <si>
    <t>XSU</t>
  </si>
  <si>
    <t>XUA</t>
  </si>
  <si>
    <t>YER</t>
  </si>
  <si>
    <t>ZAR</t>
  </si>
  <si>
    <t>ZMW</t>
  </si>
  <si>
    <t>24(e)(i)</t>
  </si>
  <si>
    <t>Label ID</t>
  </si>
  <si>
    <t>en</t>
  </si>
  <si>
    <t>Currency of the monetary values in the report</t>
  </si>
  <si>
    <t>List of disclosures for which no changes are reported compared to the previous period reporting</t>
  </si>
  <si>
    <t>B1 - Basis for Preparation and other undertaking's general information</t>
  </si>
  <si>
    <t>List of omitted disclosures deemed to be classified or sensitive information</t>
  </si>
  <si>
    <t>Turnover in</t>
  </si>
  <si>
    <t>B3 - Total Energy Consumption (in MWh)</t>
  </si>
  <si>
    <t>B3 - Breakdown of energy consumption (in MWh)</t>
  </si>
  <si>
    <t>Self-generated electricity</t>
  </si>
  <si>
    <t>Fuels (see Fuel Converter on Fuels worksheet)</t>
  </si>
  <si>
    <t>Has  the undertaking has established GHG emission reduction targets?</t>
  </si>
  <si>
    <t>1. Purchased Goods and Services</t>
  </si>
  <si>
    <t>2. Capital Goods</t>
  </si>
  <si>
    <t>4. Upstream Transportation and Distribution</t>
  </si>
  <si>
    <t>5. Waste Generated in Operations</t>
  </si>
  <si>
    <t>6. Business Travel</t>
  </si>
  <si>
    <t>7. Employee Commuting</t>
  </si>
  <si>
    <t>8. Upstream Leased Assets</t>
  </si>
  <si>
    <t>9. Downstream Transportation and Distribution</t>
  </si>
  <si>
    <t>10. Processing of Sold Products</t>
  </si>
  <si>
    <t>11. Use of Sold Products</t>
  </si>
  <si>
    <t>12. End-of-Life Treatment of Sold Products</t>
  </si>
  <si>
    <t>13. Downstream Leased Assets</t>
  </si>
  <si>
    <t>14. Franchises</t>
  </si>
  <si>
    <t>Is the undertaking operating in high impact sectors?</t>
  </si>
  <si>
    <t>Status of implementation of a transition plan in relation to climate change mitigation</t>
  </si>
  <si>
    <t>Please provide the relevant URL link or hyperlink of where this information is reported</t>
  </si>
  <si>
    <t>Pollutant</t>
  </si>
  <si>
    <t>Emission to air</t>
  </si>
  <si>
    <t>Emission to water</t>
  </si>
  <si>
    <t>Emission to soil</t>
  </si>
  <si>
    <t>Total nature-oriented area on-site</t>
  </si>
  <si>
    <t>Total nature-oriented area off-site</t>
  </si>
  <si>
    <t>Waste diverted to recycle or reuse</t>
  </si>
  <si>
    <t>Total annual mass-flow of relevant materials used (volume in m³)</t>
  </si>
  <si>
    <t>Rate of recordable work-related accidents in the reporting period</t>
  </si>
  <si>
    <t>Number of male employees at management level</t>
  </si>
  <si>
    <t>Does the undertaking have a complaint-handling mechanism for its own workforce?</t>
  </si>
  <si>
    <t>Monetary amount in</t>
  </si>
  <si>
    <t>Undertakings are excluded from any EU reference benchmarks that are aligned with the Paris Agreement</t>
  </si>
  <si>
    <t>Gender diversity ratio in governance body</t>
  </si>
  <si>
    <t>Information on the report necessary for  XBRL</t>
  </si>
  <si>
    <t>[Always to be reported]</t>
  </si>
  <si>
    <t>Description of significant groups of products and or services offered</t>
  </si>
  <si>
    <t>Disclosure of any other general and or entity specific information on the reporting period</t>
  </si>
  <si>
    <t>Gross scope 2 market-based GHG Emissions</t>
  </si>
  <si>
    <t>[If applicable]</t>
  </si>
  <si>
    <t>[May (optional)]</t>
  </si>
  <si>
    <t>Mass Volume</t>
  </si>
  <si>
    <t>Disclosure of any other environmental and or entity specific environmental disclosures</t>
  </si>
  <si>
    <t>[Always to be reported + If applicable]</t>
  </si>
  <si>
    <t>Average gross hourly pay level of male employees</t>
  </si>
  <si>
    <t>Average gross hourly pay level of female employees</t>
  </si>
  <si>
    <t>Description of actions taken to address the confirmed incidents</t>
  </si>
  <si>
    <t>1% or more of their revenues from exploration mining extraction distribution or refining of hard coal and lignite</t>
  </si>
  <si>
    <t>10% or more of their revenues from the exploration extraction distribution or refining of oil fuels</t>
  </si>
  <si>
    <t>50% or more of their revenues from the exploration extraction manufacturing or distribution of gaseous fuels</t>
  </si>
  <si>
    <t>B2 - Cooperative specific disclosures</t>
  </si>
  <si>
    <t>B3 - Estimated Greenhouse Gas Emissions considering the GHG Protocol Version 2004 (in tCO2e)</t>
  </si>
  <si>
    <t>C3 - GHG reduction targets (in tC02e)</t>
  </si>
  <si>
    <t>Total Scope 1 and Scope 2 GHG emissions  (market-based)</t>
  </si>
  <si>
    <t>C3 - Disclosure of list of main actions the entity seeks in order to achieve its targets</t>
  </si>
  <si>
    <t>C3 - Transition plan for undertakings operating in high climate impact sectors</t>
  </si>
  <si>
    <t>B3 - Greenhouse gas emission intensity per turnover (in tCO2e)</t>
  </si>
  <si>
    <t>Scope 1 and Scope 2 GHG Emissions intensity (location-based)</t>
  </si>
  <si>
    <t>Scope 1 and Scope 2 GHG Emissions intensity (market-based)</t>
  </si>
  <si>
    <t>B5 - Sites in biodiversity sensitive areas</t>
  </si>
  <si>
    <t>B5 - Biodiversity - Land-use</t>
  </si>
  <si>
    <t>B6 - Water Withdrawal</t>
  </si>
  <si>
    <t>B6 - Water Consumption</t>
  </si>
  <si>
    <t>B7 - Description of circular economy principles</t>
  </si>
  <si>
    <t>B7 - Waste generated</t>
  </si>
  <si>
    <t>B7 – Annual mass-flow of relevant materials used</t>
  </si>
  <si>
    <t>B8 – Workforce – General characteristics - Type of contract</t>
  </si>
  <si>
    <t>B8 – Workforce – General characteristics - Gender</t>
  </si>
  <si>
    <t>B8 – Workforce – General characteristics - Country of employment</t>
  </si>
  <si>
    <t>B8 – Workforce – General characteristics - Turnover rate</t>
  </si>
  <si>
    <t>Percentage gap in pay between the  undertaking's female and male employees [%]</t>
  </si>
  <si>
    <t>C8 – Exclusion from EU reference benchmarks</t>
  </si>
  <si>
    <t>Select Template Display Language:</t>
  </si>
  <si>
    <t>Effective participation of workers users or other interested parties or communities in governance</t>
  </si>
  <si>
    <t>Undertaking has a practice policy and or future initiative that is publicly available</t>
  </si>
  <si>
    <t>Description of sustainability-related certification(s) or label(s) including where relevant the issuers of the certification or label date and rating score</t>
  </si>
  <si>
    <t>B2 – Practices policies and future initiatives for transitioning towards a more sustainable economy</t>
  </si>
  <si>
    <t>C2 – Description of practices policies and future initiatives for transitioning towards a more sustainable economy</t>
  </si>
  <si>
    <t>Total Scope 1 Scope 2 and Scope 3 GHG Emissions (location-based)</t>
  </si>
  <si>
    <t>Total Scope 1 Scope 2 and Scope 3 GHG Emissions (market-based)</t>
  </si>
  <si>
    <t>Description of a transition plan for climate change mitigation including an explanation of how it is contributing to reduce GHG emissions</t>
  </si>
  <si>
    <t>Total Scope 1 Scope 2 and Scope 3 GHG Emissions intensity (location-based)</t>
  </si>
  <si>
    <t>Total Scope 1 Scope 2 and Scope 3 GHG Emissions intensity (market-based)</t>
  </si>
  <si>
    <t>B4 – Pollution of air water and soil</t>
  </si>
  <si>
    <t>Is the undertaking already required by law or other national regulations to report to competent authorities its emissions of pollutants or does it already voluntarily report on them according to an Environmental Management System?</t>
  </si>
  <si>
    <t>Total amount of water withdrawn from all sites (cubic meters m³)</t>
  </si>
  <si>
    <t>Amount of water withdrawn at sites located in areas of high water-stress (cubic meters m³)</t>
  </si>
  <si>
    <t>Does the undertaking have production processes in place which significantly consume water (e.g. thermal energy processes like drying or power production production of goods agricultural irrigation etc.)?</t>
  </si>
  <si>
    <t>Has the undertaking identified climate-related hazards and climate-related transition events creating gross climate-related risks for the undertaking?</t>
  </si>
  <si>
    <t>Disclosure of how it has assessed the exposure and sensitivity of its assets activities and value chain to these hazards and transition events</t>
  </si>
  <si>
    <t>Potential adverse effects of climate risks that may affect its financial performance or business operations in the short- medium- or long-term indicating whether it assesses the risks to be high medium or low</t>
  </si>
  <si>
    <t>Employee counting methodology for the disclosures below (Headcount or Full time Equivalent linked from B1</t>
  </si>
  <si>
    <t>B10 – Workforce – Remuneration collective bargaining and training</t>
  </si>
  <si>
    <t>If yes does this cover:</t>
  </si>
  <si>
    <t>If yes are incidents related to:</t>
  </si>
  <si>
    <t>Is the undertaking aware of any confirmed incidents involving workers in the value chain affected communities consumers and end-users?</t>
  </si>
  <si>
    <t>Specification of any confirmed incident involving workers in the value chain affected communities consumers and end-users</t>
  </si>
  <si>
    <t>Revenue derived from controversial weapons (anti-personnel mines cluster munitions chemical weapons and biological weapons)</t>
  </si>
  <si>
    <t>Has the undertaking put in place specific practices policies and or future initiatives for transitioning towards a more sustainable economy?</t>
  </si>
  <si>
    <t>Sustainability issues addressed by a practice policy and or future initiatives that the undertaking has put in place</t>
  </si>
  <si>
    <t>Description of a practice policy and or future initiative towards a more sustainable future (In case the practice  policy  future initiative covers suppliers or clients the undertaking shall mention it)</t>
  </si>
  <si>
    <t>Site Location in near a biodiversity area - auto filled from B1</t>
  </si>
  <si>
    <t>Disclosure of any other social and or entity specific social disclosures</t>
  </si>
  <si>
    <t>50% or more of their revenues from electricity generation with a GHG intensity of more than 100g CO2 e kWh</t>
  </si>
  <si>
    <t>Disclosure of any other governance and or entity specific governance disclosures</t>
  </si>
  <si>
    <t>Employee counting methodology for the disclosures below (At the end of the reporting period or as an average across the reporting period linked from B1)</t>
  </si>
  <si>
    <t>Reporting period start date (yyyy-mm-dd)</t>
  </si>
  <si>
    <t>Reporting period end date  (yyyy-mm-dd)</t>
  </si>
  <si>
    <t>Fuel type</t>
  </si>
  <si>
    <t>Typical renewable state</t>
  </si>
  <si>
    <t>Calculated Energy in MWh</t>
  </si>
  <si>
    <t>1. In cell A9 select the Fuel used, searching for it or scrolling down the list displayed clicking the cell</t>
  </si>
  <si>
    <t>2. In cell B9 select the Unit of measurement used</t>
  </si>
  <si>
    <t>3. In cell C9 select the Amount of fuel used</t>
  </si>
  <si>
    <t>5. In cell E9 it is displayed the Typical renewability state for the Fuel selected</t>
  </si>
  <si>
    <t>4. In cell D9 it is displayed the State of matter for the Fuel selected</t>
  </si>
  <si>
    <t>6. In cell F9 is displayed the Energy produced in Mega Watt hours by the Amount of Fuel specified</t>
  </si>
  <si>
    <t>template_label_information_on_previous_reporting_period</t>
  </si>
  <si>
    <t>template_label_disclosures_from_the_previous_reporting_period_that_remain_unchanged</t>
  </si>
  <si>
    <t>template_label_disclosures_for_which_no_changes_are_reported_compared_to_the_previous_period_reporting</t>
  </si>
  <si>
    <t>template_label_link_to_previous_report_containing_disclosures_that_remain_unchanged</t>
  </si>
  <si>
    <t>template_label_b1_basis_for_preparation_and_other_undertakings_general_information</t>
  </si>
  <si>
    <t>template_label_paragraph_reference</t>
  </si>
  <si>
    <t>template_label_paragraph_guidance_reference</t>
  </si>
  <si>
    <t>template_label_always_to_be_reported</t>
  </si>
  <si>
    <t>template_label_if_applicable</t>
  </si>
  <si>
    <t>template_label_may</t>
  </si>
  <si>
    <t>template_label_always_to_be_reported_if_applicable</t>
  </si>
  <si>
    <t>template_label_information_on_the_report_necessary_for_xbrl</t>
  </si>
  <si>
    <t>template_label_name_of_the_reporting_entity</t>
  </si>
  <si>
    <t>template_label_identifier_of_the_reporting_entity</t>
  </si>
  <si>
    <t>template_label_currency_of_the_monetary_values_in_the_report</t>
  </si>
  <si>
    <t>template_label_starting_year</t>
  </si>
  <si>
    <t>template_label_starting_month</t>
  </si>
  <si>
    <t>template_label_starting_day</t>
  </si>
  <si>
    <t>template_label_reporting_period_start_date</t>
  </si>
  <si>
    <t>template_label_ending_year</t>
  </si>
  <si>
    <t>template_label_ending_month</t>
  </si>
  <si>
    <t>template_label_ending_day</t>
  </si>
  <si>
    <t>template_label_reporting_period_end_date</t>
  </si>
  <si>
    <t>template_label_basis_for_preparation</t>
  </si>
  <si>
    <t>template_label_list_of_omitted_disclosures_deemed_to_be_classified_or_sensitive_information</t>
  </si>
  <si>
    <t>template_label_basis_for_reporting</t>
  </si>
  <si>
    <t>template_label_undertakings_legal_form</t>
  </si>
  <si>
    <t>template_label_other_undertakings_legal_form_specification</t>
  </si>
  <si>
    <t>template_label_nace_sector_classification_code</t>
  </si>
  <si>
    <t>template_label_size_of_balance_sheet_in</t>
  </si>
  <si>
    <t>template_label_turnover_in</t>
  </si>
  <si>
    <t>template_label_number_of_employees</t>
  </si>
  <si>
    <t>template_label_employee_counting_methodology_end_of_reporting_period_or_average_during_the_reporting_period</t>
  </si>
  <si>
    <t>template_label_employee_counting_methodology_headcount_or_fulltime_equivalent</t>
  </si>
  <si>
    <t>template_label_country_of_primary_operations_and_location_of_significant_asset</t>
  </si>
  <si>
    <t>template_label_b1_list_of_subsidiaries</t>
  </si>
  <si>
    <t>template_label_id</t>
  </si>
  <si>
    <t>template_label_name</t>
  </si>
  <si>
    <t>template_label_registered_address</t>
  </si>
  <si>
    <t>template_label_b1_disclosure_of_sustainability_related_certification_or_label</t>
  </si>
  <si>
    <t>template_label_has_the_undertaking_obtained_any_sustainability_related_certification_or_label</t>
  </si>
  <si>
    <t>template_label_description_of_sustainability_related_certification_or_label</t>
  </si>
  <si>
    <t>template_label_b1_list_of_site</t>
  </si>
  <si>
    <t>template_label_address</t>
  </si>
  <si>
    <t>template_label_postal_code</t>
  </si>
  <si>
    <t>template_label_city</t>
  </si>
  <si>
    <t>template_label_country</t>
  </si>
  <si>
    <t>template_label_gps_coordinates</t>
  </si>
  <si>
    <t>template_label_automatic_geolocation</t>
  </si>
  <si>
    <t>template_label_b2_practices_policies_and_future_initiatives_for_transitioning_towards_a_more_sustainable_economy</t>
  </si>
  <si>
    <t>template_label_has_the_undertaking_put_in_place_specific_practices_policies_and_or_future</t>
  </si>
  <si>
    <t>template_label_sustainability_issues_addressed_by_a_practice_policy_and_or_future_initiatives_put_in_place</t>
  </si>
  <si>
    <t>template_label_undertaking_has_a_practice_policy_and_or_future_initiative_that_is_publicly_available</t>
  </si>
  <si>
    <t>template_label_undertaking_has_set_a_target_which_is_related_to_a_policy</t>
  </si>
  <si>
    <t>template_label_climate_change</t>
  </si>
  <si>
    <t>template_label_pollution</t>
  </si>
  <si>
    <t>template_label_water_and_marine_resources</t>
  </si>
  <si>
    <t>template_label_biodiversity_and_ecosystems</t>
  </si>
  <si>
    <t>template_label_circular_economy</t>
  </si>
  <si>
    <t>template_label_own_workforce</t>
  </si>
  <si>
    <t>template_label_workers_in_the_value_chain</t>
  </si>
  <si>
    <t>template_label_affected_communities</t>
  </si>
  <si>
    <t>template_label_consumers_and_endusers</t>
  </si>
  <si>
    <t>template_label_business_conduct</t>
  </si>
  <si>
    <t>template_label_b2_cooperative_specific_disclosures</t>
  </si>
  <si>
    <t>template_label_effective_participation_of_workers_users_or_other_interested_parties_or_communities_in_governance</t>
  </si>
  <si>
    <t>template_label_financial_investment_in_the_capital_or_assets_of_social_economy_entities</t>
  </si>
  <si>
    <t>template_label_limits_to_the_distribution_of_profits</t>
  </si>
  <si>
    <t>template_label_c2_description_of_practices_policies_and_future_initiatives_for_transitioning_towards_a_more_sustainable_economy</t>
  </si>
  <si>
    <t>template_label_description_of_a_practice_policy_and_or_future_initiative_towards_a_more_sustainable_future</t>
  </si>
  <si>
    <t>template_label_description_of_target_related_to_a_policy</t>
  </si>
  <si>
    <t>template_label_most_senior_level_accountable_for_implementing_practices_policies_and_or_future_initiatives</t>
  </si>
  <si>
    <t>template_label_c1_strategy_business_model_and_sustainability_related_initiatives</t>
  </si>
  <si>
    <t>template_label_description_of_significant_groups_of_products_and_or_services_offered</t>
  </si>
  <si>
    <t>template_label_description_of_significant_market_the_undertaking_operates_in</t>
  </si>
  <si>
    <t>template_label_has_the_strategy_key_elements_that_relate_to_or_affect_sustainability_issues</t>
  </si>
  <si>
    <t>template_label_description_of_those_key_elements_in_the_strategy_that_relate_or_affect_sustainability_issues</t>
  </si>
  <si>
    <t>template_label_disclosure_of_any_other_general_and_or_entity_specific_information_on_the_reporting_period</t>
  </si>
  <si>
    <t>template_label_b3_total_energy_consumption</t>
  </si>
  <si>
    <t>template_label_total_energy_consumption</t>
  </si>
  <si>
    <t>template_label_b3_breakdown_of_energy_consumption</t>
  </si>
  <si>
    <t>template_label_has_the_undertaking_obtained_the_necessary_information_to_provide_an_energy_consumption_breakdown</t>
  </si>
  <si>
    <t>template_label_renewable</t>
  </si>
  <si>
    <t>template_label_non_renewable</t>
  </si>
  <si>
    <t>template_label_total_renewable_and_nonrenewable</t>
  </si>
  <si>
    <t>template_label_electricity</t>
  </si>
  <si>
    <t>template_label_selfgenerated_electricity</t>
  </si>
  <si>
    <t>template_label_fuels</t>
  </si>
  <si>
    <t>template_label_b3_estimated_greenhouse_gas_emissions</t>
  </si>
  <si>
    <t>template_label_c3_ghg_reduction_targets</t>
  </si>
  <si>
    <t>template_label_has_the_undertaking_has_established_ghg_emission_reduction_targets</t>
  </si>
  <si>
    <t>template_label_current_reporting_period</t>
  </si>
  <si>
    <t>template_label_base_year</t>
  </si>
  <si>
    <t>template_label_target_year</t>
  </si>
  <si>
    <t>template_label_percentage_reduction_from_base_year</t>
  </si>
  <si>
    <t>template_label_year_date</t>
  </si>
  <si>
    <t>template_label_gross_scope_1_ghg_emissions</t>
  </si>
  <si>
    <t>template_label_gross_scope_2_location_based_ghg_emissions</t>
  </si>
  <si>
    <t>template_label_gross_scope_2_market_based_ghg_emissions</t>
  </si>
  <si>
    <t>template_label_total_scope_1_and_scope_2_ghg_emissions_location_based</t>
  </si>
  <si>
    <t>template_label_total_scope_1_and_scope_2_ghg_emissions_market_based</t>
  </si>
  <si>
    <t>template_label_is_the_undertaking_disclosing_entity_specific_information_on_scope_3_emissions</t>
  </si>
  <si>
    <t>template_label_1_purchased_goods_and_services</t>
  </si>
  <si>
    <t>template_label_2_capital_goods</t>
  </si>
  <si>
    <t>template_label_3_fuel__and_energy_related_activities</t>
  </si>
  <si>
    <t>template_label_4_upstream_transportation_and_distribution</t>
  </si>
  <si>
    <t>template_label_5_waste_generated_in_operations</t>
  </si>
  <si>
    <t>template_label_6_business_travel</t>
  </si>
  <si>
    <t>template_label_7_employee_commuting</t>
  </si>
  <si>
    <t>template_label_8_upstream_leased_assets</t>
  </si>
  <si>
    <t>template_label_9_downstream_transportation_and_distribution</t>
  </si>
  <si>
    <t>template_label_10_processing_of_sold_products</t>
  </si>
  <si>
    <t>template_label_11_use_of_sold_products</t>
  </si>
  <si>
    <t>template_label_12_end_of_life_treatment_of_sold_products</t>
  </si>
  <si>
    <t>template_label_13_downstream_leased_assets</t>
  </si>
  <si>
    <t>template_label_14_franchises</t>
  </si>
  <si>
    <t>template_label_15_investments</t>
  </si>
  <si>
    <t>template_label_total_scope_3_ghg_emissions</t>
  </si>
  <si>
    <t>template_label_total_scope_1_scope_2_and_scope_3_ghg_emissions_location_based</t>
  </si>
  <si>
    <t>template_label_total_scope_1_scope_2_and_scope_3_ghg_emissions_market_based</t>
  </si>
  <si>
    <t>template_label_c3_disclosure_of_list_of_main_actions_the_entity_seeks_in_order_to_achieve_its_targets</t>
  </si>
  <si>
    <t>template_label_c3_transition_plan_for_undertakings_operating_in_high_climate_impact_sectors</t>
  </si>
  <si>
    <t>template_label_is_the_undertaking_operating_in_high_impact_sectors</t>
  </si>
  <si>
    <t>template_label_status_of_implementation_of_a_transition_plan_in_relation_to_climate_change_mitigation</t>
  </si>
  <si>
    <t>template_label_description_of_a_transition_plan_for_climate_change_mitigation</t>
  </si>
  <si>
    <t>template_label_date_of_foreseen_adoption_of_transition_plan_for_undertaking_not_having_adopted_transition_plan_yet</t>
  </si>
  <si>
    <t>template_label_year</t>
  </si>
  <si>
    <t>template_label_month</t>
  </si>
  <si>
    <t>template_label_day</t>
  </si>
  <si>
    <t>template_label_b3_greenhouse_gas_emission_intensity_per_turnover</t>
  </si>
  <si>
    <t>template_label_scope_1_and_scope_2_ghg_emissions_intensity_location_based</t>
  </si>
  <si>
    <t>template_label_scope_1_and_scope_2_ghg_emissions_intensity_market_based</t>
  </si>
  <si>
    <t>template_label_total_scope_1_scope_2_and_scope_3_ghg_emissions_intensity_location_based</t>
  </si>
  <si>
    <t>template_label_total_scope_1_scope_2_and_scope_3_ghg_emissions_intensity_market_based</t>
  </si>
  <si>
    <t>template_label_b4_pollution_of_air_water_and_soil</t>
  </si>
  <si>
    <t>template_label_required_by_law_or_other_national_regulations_to_report_to_competent_authorities_its_emissions_of_pollutants</t>
  </si>
  <si>
    <t>template_label_is_this_disclosure_already_publicly_available</t>
  </si>
  <si>
    <t>template_label_please_provide_the_relevant_url_link_or_hyperlink_of_where_this_information_is_reported</t>
  </si>
  <si>
    <t>template_label_please_select_the_unit_used_for_reporting_the_amount</t>
  </si>
  <si>
    <t>template_label_row_id</t>
  </si>
  <si>
    <t>template_label_pollutant</t>
  </si>
  <si>
    <t>template_label_emission_to_air</t>
  </si>
  <si>
    <t>template_label_emission_to_water</t>
  </si>
  <si>
    <t>template_label_emission_to_soil</t>
  </si>
  <si>
    <t>template_label_b5_sites_in_biodiversity_sensitive_areas</t>
  </si>
  <si>
    <t>template_label_does_the_undertaking_have_sites_that_are_located_in_or_near_biodiversity_sensitive_areas</t>
  </si>
  <si>
    <t>template_label_please_select_the_unit_used_for_the_area</t>
  </si>
  <si>
    <t>template_label_related_site_id</t>
  </si>
  <si>
    <t>template_label_site_location_in_near_a_biodiversity_area</t>
  </si>
  <si>
    <t>template_label_area_hectares_or_m2</t>
  </si>
  <si>
    <t>template_label_site_located_in_a_biodiversity_sensitive_area</t>
  </si>
  <si>
    <t>template_label_site_located_near_a_biodiversity_sensitive_area</t>
  </si>
  <si>
    <t>template_label_b5_biodiversity_land_use</t>
  </si>
  <si>
    <t>template_label_land_use_type</t>
  </si>
  <si>
    <t>template_label_area</t>
  </si>
  <si>
    <t>template_label_total_sealed_area</t>
  </si>
  <si>
    <t>template_label_total_nature_oriented_area_on_site</t>
  </si>
  <si>
    <t>template_label_total_nature_oriented_area_off_site</t>
  </si>
  <si>
    <t>template_label_total_use_of_land</t>
  </si>
  <si>
    <t>template_label_b6_water_withdrawal</t>
  </si>
  <si>
    <t>template_label_total_amount_of_water_withdrawn_from_all_sites</t>
  </si>
  <si>
    <t>template_label_amount_of_water_withdrawn_at_sites_located_in_areas_of_high_water_stress</t>
  </si>
  <si>
    <t>template_label_b6_water_consumption</t>
  </si>
  <si>
    <t>template_label_does_the_undertaking_have_production_processes_in_place_which_significantly_consume_water</t>
  </si>
  <si>
    <t>template_label_water_discharge_from_undertaking_production_processes</t>
  </si>
  <si>
    <t>template_label_total_water_consumption</t>
  </si>
  <si>
    <t>template_label_b7_description_of_circular_economy_principles</t>
  </si>
  <si>
    <t>template_label_undertaking_applies_circular_economy_principles</t>
  </si>
  <si>
    <t>template_label_description_of_how_it_applies_these_principles</t>
  </si>
  <si>
    <t>template_label_b7_waste_generated</t>
  </si>
  <si>
    <t>template_label_type_of_waste</t>
  </si>
  <si>
    <t>template_label_unit_of_measurement</t>
  </si>
  <si>
    <t>template_label_waste_diverted_to_recycle_or_reuse</t>
  </si>
  <si>
    <t>template_label_waste_directed_to_disposal</t>
  </si>
  <si>
    <t>template_label_total_waste_recycled_reused_and_directed_to_disposal</t>
  </si>
  <si>
    <t>template_label_total_hazardous_waste_generated_mass</t>
  </si>
  <si>
    <t>template_label_total_amount_of_waste_generated</t>
  </si>
  <si>
    <t>template_label_total_non_hazardous_waste_generated_mass</t>
  </si>
  <si>
    <t>template_label_total_waste_generated_mass</t>
  </si>
  <si>
    <t>template_label_total_hazardous_waste_generated_volume</t>
  </si>
  <si>
    <t>template_label_cubic_meters</t>
  </si>
  <si>
    <t>template_label_total_non_hazardous_waste_generated_volume</t>
  </si>
  <si>
    <t>template_label_total_waste_generated_volume</t>
  </si>
  <si>
    <t>template_label_b7_annual_mass_flow_of_relevant_materials_used</t>
  </si>
  <si>
    <t>template_label_name_of_the_key_material</t>
  </si>
  <si>
    <t>template_label_mass_volume</t>
  </si>
  <si>
    <t>template_label_total_annual_mass_flow_of_relevant_materials_used_mass</t>
  </si>
  <si>
    <t>template_label_kilograms</t>
  </si>
  <si>
    <t>template_label_total_annual_mass_flow_of_relevant_materials_used_volume</t>
  </si>
  <si>
    <t>template_label_c4_climate_risks</t>
  </si>
  <si>
    <t>template_label_has_the_undertaking_identified_climate_related_hazards_and_climate_related_transition_events</t>
  </si>
  <si>
    <t>template_label_description_of_climate_related_hazards_and_climate_related_transition_events</t>
  </si>
  <si>
    <t>template_label_disclosure_of_how_it_has_assessed_the_exposure_and_sensitivity_of_its_assets</t>
  </si>
  <si>
    <t>template_label_time_horizons_of_any_climate_related_hazards_and_transition_events_identified</t>
  </si>
  <si>
    <t>template_label_disclosure_of_whether_it_has_undertaken_climate_change_adaptation_actions</t>
  </si>
  <si>
    <t>template_label_potential_adverse_effects_of_climate_risks</t>
  </si>
  <si>
    <t>template_label_disclosure_of_any_other_environmental_and_or_entity_specific_environmental_disclosures</t>
  </si>
  <si>
    <t>template_label_employee_counting_methodology_for_the_disclosures_below_headcount_full_time_equivalent</t>
  </si>
  <si>
    <t>template_label_employee_counting_methodology_for_the_disclosures_below_period</t>
  </si>
  <si>
    <t>template_label_b8_workforce_general_characteristics_type_of_contract</t>
  </si>
  <si>
    <t>template_label_type_of_contract</t>
  </si>
  <si>
    <t>template_label_permanent_contract</t>
  </si>
  <si>
    <t>template_label_temporary_contract</t>
  </si>
  <si>
    <t>template_label_total_employees</t>
  </si>
  <si>
    <t>template_label_b8_workforce_general_characteristics_gender</t>
  </si>
  <si>
    <t>template_label_gender</t>
  </si>
  <si>
    <t>template_label_male</t>
  </si>
  <si>
    <t>template_label_female</t>
  </si>
  <si>
    <t>template_label_other</t>
  </si>
  <si>
    <t>template_label_not_reported</t>
  </si>
  <si>
    <t>template_label_b8_workforce_general_characteristics_country_of_employment</t>
  </si>
  <si>
    <t>template_label_country_of_employment_contract</t>
  </si>
  <si>
    <t>template_label_b8_workforce_general_characteristics_turnover_rate</t>
  </si>
  <si>
    <t>template_label_number_of_employees_who_left_during_the_reporting_period</t>
  </si>
  <si>
    <t>template_label_number_of_employees_at_the_beginning_of_the_reporting_period</t>
  </si>
  <si>
    <t>template_label_number_of_employees_at_the_end_of_the_reporting_period</t>
  </si>
  <si>
    <t>template_label_employee_turnover_rate_in_the_reporting_period</t>
  </si>
  <si>
    <t>template_label_b9_workforce_health_and_safety</t>
  </si>
  <si>
    <t>template_label_number_of_recordable_work_related_accidents_in_the_reporting_period</t>
  </si>
  <si>
    <t>template_label_number_of_hours_worked_by_one_fulltime_employee_in_the_reporting_period</t>
  </si>
  <si>
    <t>template_label_total_number_of_hours_worked_in_a_year_by_all_employees_in_the_reporting_period</t>
  </si>
  <si>
    <t>template_label_rate_of_recordable_work_related_accidents_in_the_reporting_period</t>
  </si>
  <si>
    <t>template_label_number_of_fatalities_as_a_result_of_work_related_injuries_and_work_related_ill_health</t>
  </si>
  <si>
    <t>template_label_b10_workforce_remuneration_collective_bargaining_and_training</t>
  </si>
  <si>
    <t>template_label_employees_receive_pay_that_is_equal_or_above_applicable_minimum_wage</t>
  </si>
  <si>
    <t>template_label_average_gross_hourly_pay_level_of_male_employees</t>
  </si>
  <si>
    <t>template_label_average_gross_hourly_pay_level_of_female_employees</t>
  </si>
  <si>
    <t>template_label_percentage_gap_in_pay_between_the__undertakings_female_and_male_employees</t>
  </si>
  <si>
    <t>template_label_number_of_employees_covered_by_collective_bargaining_agreements</t>
  </si>
  <si>
    <t>template_label_percentage_of_employees_covered_by_collective_bargaining_agreements</t>
  </si>
  <si>
    <t>template_label_number_of_annual_training_hours_per_employee_during_the_reporting_period</t>
  </si>
  <si>
    <t>template_label_average_number_of_annual_training_hours_per_employee</t>
  </si>
  <si>
    <t>template_label_c5_additional_workforce_characteristics</t>
  </si>
  <si>
    <t>template_label_number_of_male_employees_at_management_level</t>
  </si>
  <si>
    <t>template_label_number_of_female_employees_at_management_level</t>
  </si>
  <si>
    <t>template_label_female_to_male_ratio_at_management_level_for_the_reporting_period</t>
  </si>
  <si>
    <t>template_label_total_self_employed_workers_without_personnel_that_are_working_exclusively_for_the_undertaking</t>
  </si>
  <si>
    <t>template_label_total_temporary_workers_provided_by_undertakings_primarily_engaged_in_employment_activities</t>
  </si>
  <si>
    <t>template_label_c6_additional_own_workforce_information_human_rights_policies_and_processes</t>
  </si>
  <si>
    <t>template_label_does_the_undertaking_have_a_code_of_conduct_or_human_rights_policy_for_its_own_workforce</t>
  </si>
  <si>
    <t>template_label_if_yes_does_this_cover</t>
  </si>
  <si>
    <t>template_label_child_labour</t>
  </si>
  <si>
    <t>template_label_forced_labour</t>
  </si>
  <si>
    <t>template_label_human_trafficking</t>
  </si>
  <si>
    <t>template_label_discrimination</t>
  </si>
  <si>
    <t>template_label_accident_prevention</t>
  </si>
  <si>
    <t>template_label_other_if_yes_specify</t>
  </si>
  <si>
    <t>template_label_specify_other_types_of_content_covered_by_the_code_of_conduct_or_human_rights_policy</t>
  </si>
  <si>
    <t>template_label_does_the_undertaking_have_a_complaint_handling_mechanism_for_its_own_workforce</t>
  </si>
  <si>
    <t>template_label_c7_severe_negative_human_rights_incidents</t>
  </si>
  <si>
    <t>template_label_does_the_undertaking_have_confirmed_incidents_in_its_own_workforce</t>
  </si>
  <si>
    <t>template_label_if_yes_are_incidents_related_to</t>
  </si>
  <si>
    <t>template_label_specify_other_human_rights_related_to_the_confirmed_incidents</t>
  </si>
  <si>
    <t>template_label_description_of_actions_taken_to_address_the_confirmed_incidents</t>
  </si>
  <si>
    <t>template_label_is_the_undertaking_aware_of_any_confirmed_incidents_involving_workers</t>
  </si>
  <si>
    <t>template_label_specification_of_any_confirmed_incident_involving_workers</t>
  </si>
  <si>
    <t>template_label_disclosure_of_any_other_social_and_or_entity_specific_social_disclosures</t>
  </si>
  <si>
    <t>template_label_b11_convictions_and_fines_for_corruption_and_bribery</t>
  </si>
  <si>
    <t>template_label_has_the_undertaking_incurred_in_convictions_and_fines_in_the_reporting_period</t>
  </si>
  <si>
    <t>template_label_total_number_of_convictions_for_the_violation_of_anti_corruption_and_anti_bribery_laws</t>
  </si>
  <si>
    <t>template_label_total_amount_of_fines_for_the_violation_of_anti_corruption_and_anti_bribery_laws</t>
  </si>
  <si>
    <t>template_label_c8_revenues_from_certain_sectors</t>
  </si>
  <si>
    <t>template_label_is_the_undertaking_deriving_revenues_from_one_of_the_activities_listed_below</t>
  </si>
  <si>
    <t>template_label_monetary_amount_in</t>
  </si>
  <si>
    <t>template_label_revenue_derived_from_controversial_weapons</t>
  </si>
  <si>
    <t>template_label_revenue_derived_from_cultivation_and_production_of_tobacco</t>
  </si>
  <si>
    <t>template_label_revenue_derived_from_coal</t>
  </si>
  <si>
    <t>template_label_revenue_derived_from_oil</t>
  </si>
  <si>
    <t>template_label_revenue_derived_from_gas</t>
  </si>
  <si>
    <t>template_label_total_revenues_derived_from_fossil_fuel_sector</t>
  </si>
  <si>
    <t>template_label_revenue_derived_from_chemicals_production</t>
  </si>
  <si>
    <t>template_label_c8_exclusion_from_eu_reference_benchmarks</t>
  </si>
  <si>
    <t>template_label_undertakings_are_excluded_from_the_eu_paris_aligned_benchmarks_if_they_derive</t>
  </si>
  <si>
    <t>template_label_1_percent_or_more_of_their_revenues_from_exploration_mining_extraction_distribution_or_refining_of_hard_coal_and_lignite</t>
  </si>
  <si>
    <t>template_label_10_percent_or_more_of_their_revenues_from_the_exploration_extraction_distribution_or_refining_of_oil_fuels</t>
  </si>
  <si>
    <t>template_label_50_percent_or_more_of_their_revenues_from_the_exploration_extraction_manufacturing_or_distribution_of_gaseous_fuels</t>
  </si>
  <si>
    <t>template_label_50_percent_or_more_of_their_revenues_from_electricity_generation</t>
  </si>
  <si>
    <t>template_label_none_of_the_above</t>
  </si>
  <si>
    <t>template_label_undertakings_are_excluded_from_any_eu_reference_benchmarks_that_are_aligned_with_the_paris_agreement</t>
  </si>
  <si>
    <t>template_label_c9_gender_diversity_ratio_in_the_governance_body</t>
  </si>
  <si>
    <t>template_label_does_the_undertaking_have_a_governance_body_in_place</t>
  </si>
  <si>
    <t>template_label_number_of_female_board_members_at_the_end_of_the_reporting_period</t>
  </si>
  <si>
    <t>template_label_number_of_male_board_members_at_the_end_of_the_reporting_period</t>
  </si>
  <si>
    <t>template_label_gender_diversity_ratio_in_governance_body</t>
  </si>
  <si>
    <t>template_label_disclosure_of_any_other_governance_and_or_entity_specific_governance_disclosures</t>
  </si>
  <si>
    <t>template_ending_date_display</t>
  </si>
  <si>
    <t>template_reporting_period_display</t>
  </si>
  <si>
    <t>B1 - List of subsidiaries</t>
  </si>
  <si>
    <t>B1 - Disclosure of sustainability-related certification(s) or label(s)</t>
  </si>
  <si>
    <t>B1 - List of site(s)</t>
  </si>
  <si>
    <r>
      <rPr>
        <b/>
        <u/>
        <sz val="11"/>
        <color rgb="FF0070C0"/>
        <rFont val="Aptos Narrow"/>
        <family val="2"/>
        <scheme val="minor"/>
      </rPr>
      <t xml:space="preserve">Nominatim Usage Policy (Geocoding Policy)
</t>
    </r>
    <r>
      <rPr>
        <sz val="11"/>
        <color theme="1"/>
        <rFont val="Aptos Narrow"/>
        <family val="2"/>
        <scheme val="minor"/>
      </rPr>
      <t xml:space="preserve">
</t>
    </r>
    <r>
      <rPr>
        <b/>
        <u/>
        <sz val="11"/>
        <color rgb="FF0070C0"/>
        <rFont val="Aptos Narrow"/>
        <family val="2"/>
        <scheme val="minor"/>
      </rPr>
      <t>Privacy Policy</t>
    </r>
  </si>
  <si>
    <t>Automatic geolocation: enabling the OpenStreetMaps's automatic geolocation with the checkbox below the undertaking is declaring to be fully aware and in acceptance of Nominatim Usage Policy and Privacy Policy.
OpenStreetMap® is open data licensed under the Open Data Commons Open Database License (ODbL) by the OpenStreetMap Foundation (OSMF). All data belong and are owned by OpenStreetMap®.</t>
  </si>
  <si>
    <t>[If applicable linked with B2]</t>
  </si>
  <si>
    <t>template_label_if_applicable_linked_to_b2</t>
  </si>
  <si>
    <t>template_label_description_of_main_business_relationships</t>
  </si>
  <si>
    <t>template_label_from</t>
  </si>
  <si>
    <t>template_label_to</t>
  </si>
  <si>
    <t>template_label_at</t>
  </si>
  <si>
    <t>from</t>
  </si>
  <si>
    <t>at</t>
  </si>
  <si>
    <t>Starting date string:</t>
  </si>
  <si>
    <t>template_starting_date_display</t>
  </si>
  <si>
    <t>Amount of waste recycled reused and directed to disposal</t>
  </si>
  <si>
    <t>Does the undertaking the undertaking operate in a sector using significant material flows (for example manufacturing construction packaging or others)?</t>
  </si>
  <si>
    <t>May (optional)</t>
  </si>
  <si>
    <t>template_label_may_not_headline</t>
  </si>
  <si>
    <t>Basis for Preparation and other undertaking's general information</t>
  </si>
  <si>
    <t>List of subsidiaries</t>
  </si>
  <si>
    <t>Disclosure of sustainability-related certification(s) or label(s)</t>
  </si>
  <si>
    <t>List of site(s)</t>
  </si>
  <si>
    <t>Practices, policies and future initiatives for transitioning towards a more sustainable economy</t>
  </si>
  <si>
    <t>Cooperative specific disclosures</t>
  </si>
  <si>
    <t>Total Energy Consumption (in MWh)</t>
  </si>
  <si>
    <t>Breakdown of energy consumption (in MWh)</t>
  </si>
  <si>
    <t>Estimated Greenhouse Gas Emissions considering the GHG Protocol Version 2004 (in tCO2e)</t>
  </si>
  <si>
    <t>Greenhouse gas emission intensity per turnover</t>
  </si>
  <si>
    <t>Sites in biodiversity sensitive areas</t>
  </si>
  <si>
    <t>Biodiversity - Land-use</t>
  </si>
  <si>
    <t>Water Withdrawal</t>
  </si>
  <si>
    <t>Water Consumption</t>
  </si>
  <si>
    <t>Description of circular economy principles</t>
  </si>
  <si>
    <t>Waste generated</t>
  </si>
  <si>
    <t>Annual mass-flow of relevant materials used</t>
  </si>
  <si>
    <t>Country of employment</t>
  </si>
  <si>
    <t>Turnover rate</t>
  </si>
  <si>
    <t>· B10 - Workforce – Remuneration, collective bargaining and training</t>
  </si>
  <si>
    <t>GHG reduction targets (in tC02e)</t>
  </si>
  <si>
    <t>Disclosure of list of main actions the entity seeks in order  to achieve its targets</t>
  </si>
  <si>
    <t>Transition plan for undertakings operating in high climate impact sectors</t>
  </si>
  <si>
    <t>Exclusion from EU reference benchmarks</t>
  </si>
  <si>
    <t>· Disclosure of any other environmental and/or entity specific environmental disclosures</t>
  </si>
  <si>
    <t>template_label_information_on_the_report_necessary_for_xbrl_validation</t>
  </si>
  <si>
    <t>template_label_overall_validation_status_validation</t>
  </si>
  <si>
    <t>template_label_table_of_contents_validation</t>
  </si>
  <si>
    <t>template_label_contents_grouping_follows_templates_framework_validation</t>
  </si>
  <si>
    <t>template_label_specific_content_validation_status_validation</t>
  </si>
  <si>
    <t>template_label_general_information_validation</t>
  </si>
  <si>
    <t>template_label_information_on_previous_reporting_period_validation</t>
  </si>
  <si>
    <t>template_label_basic_module_validation</t>
  </si>
  <si>
    <t>template_label_b1_basis_for_preparation_validation</t>
  </si>
  <si>
    <t>template_label_basis_for_preparation_and_other_undertakings_general_information_validation</t>
  </si>
  <si>
    <t>template_label_list_of_subsidiaries_validation</t>
  </si>
  <si>
    <t>template_label_disclosure_of_sustainability_related_certifications_or_labels_validation</t>
  </si>
  <si>
    <t>template_label_list_of_sites_validation</t>
  </si>
  <si>
    <t>template_label_b2_practices_policies_and_future_initiatives_for_transitioning_towards_a_more_sustainable_economy_validation</t>
  </si>
  <si>
    <t>template_label_practices_policies_and_future_initiatives_for_transitioning_towards_a_more_sustainable_economy_validation</t>
  </si>
  <si>
    <t>template_label_cooperative_specific_disclosures_validation</t>
  </si>
  <si>
    <t>template_label_environmental_disclosures_validation</t>
  </si>
  <si>
    <t>template_label_b3_energy_and_greenhouse_gas_emissions_validation</t>
  </si>
  <si>
    <t>template_label_total_energy_consumption_in_mwh_validation</t>
  </si>
  <si>
    <t>template_label_breakdown_of_energy_consumption_in_mwh_validation</t>
  </si>
  <si>
    <t>template_label_estimated_greenhouse_gas_emissions_considering_the_ghg_protocol_version_2004_in_tco2e_validation</t>
  </si>
  <si>
    <t>template_label_greenhouse_gas_emission_intensity_per_turnover_validation</t>
  </si>
  <si>
    <t>template_label_b4_pollution_of_air_water_and_soil_validation</t>
  </si>
  <si>
    <t>template_label_b5_biodiversity_validation</t>
  </si>
  <si>
    <t>template_label_sites_in_biodiversity_sensitive_areas_validation</t>
  </si>
  <si>
    <t>template_label_biodiversity_land_use_validation</t>
  </si>
  <si>
    <t>template_label_b6_water_validation</t>
  </si>
  <si>
    <t>template_label_water_withdrawal_validation</t>
  </si>
  <si>
    <t>template_label_water_consumption_validation</t>
  </si>
  <si>
    <t>template_label_b7_resource_use_circular_economy_and_waste_management_validation</t>
  </si>
  <si>
    <t>template_label_description_of_circular_economy_principles_validation</t>
  </si>
  <si>
    <t>template_label_waste_generated_validation</t>
  </si>
  <si>
    <t>template_label_annual_mass_flow_of_relevant_materials_used_validation</t>
  </si>
  <si>
    <t>template_label_social_disclosures_validation</t>
  </si>
  <si>
    <t>template_label_b8_workforce_general_characteristics_validation</t>
  </si>
  <si>
    <t>template_label_type_of_contract_validation</t>
  </si>
  <si>
    <t>template_label_gender_validation</t>
  </si>
  <si>
    <t>template_label_country_of_employment_validation</t>
  </si>
  <si>
    <t>template_label_turnover_rate_validation</t>
  </si>
  <si>
    <t>template_label_b9_workforce_health_and_safety_validation</t>
  </si>
  <si>
    <t>template_label_b10_workforce_remuneration_collective_bargaining_and_training_validation</t>
  </si>
  <si>
    <t>template_label_governance_disclosures_validation</t>
  </si>
  <si>
    <t>template_label_b11_convictions_and_fines_for_corruption_and_bribery_validation</t>
  </si>
  <si>
    <t>template_label_comprehensive_module_validation</t>
  </si>
  <si>
    <t>template_label_c1_strategy_business_model_and_sustainability_related_initiatives_validation</t>
  </si>
  <si>
    <t>template_label_c2_description_of_practices_policies_and_future_initiatives_for_transitioning_towards_a_more_sustainable_economy_validation</t>
  </si>
  <si>
    <t>template_label_c3_ghg_reduction_targets_and_climate_transition_validation</t>
  </si>
  <si>
    <t>template_label_ghg_reduction_targets_in_tc02e_validation</t>
  </si>
  <si>
    <t>template_label_disclosure_of_list_of_main_actions_the_entity_seeks_in_order_to_achieve_its_targets_validation</t>
  </si>
  <si>
    <t>template_label_transition_plan_for_undertakings_operating_in_high_climate_impact_sectors_validation</t>
  </si>
  <si>
    <t>template_label_c4_climate_risks_validation</t>
  </si>
  <si>
    <t>template_label_c5_additional_general_workforce_characteristics_validation</t>
  </si>
  <si>
    <t>template_label_c6_additional_own_workforce_information_human_rights_policies_and_processes_validation</t>
  </si>
  <si>
    <t>template_label_c7_severe_negative_human_rights_incidents_validation</t>
  </si>
  <si>
    <t>template_label_c8_revenues_from_certain_sectors_and_exclusion_from_eu_reference_benchmarks_validation</t>
  </si>
  <si>
    <t>template_label_revenues_from_certain_sectors_validation</t>
  </si>
  <si>
    <t>template_label_exclusion_from_eu_reference_benchmarks_validation</t>
  </si>
  <si>
    <t>template_label_c9_gender_diversity_ratio_in_the_governance_body_validation</t>
  </si>
  <si>
    <t>template_label_additional_disclosures_validation</t>
  </si>
  <si>
    <t>template_label_disclosure_of_any_other_general_and_or_entity_specific_information_on_the_reporting_period_validation</t>
  </si>
  <si>
    <t>template_label_disclosure_of_any_other_environmental_and_or_entity_specific_environmental_disclosures_validation</t>
  </si>
  <si>
    <t>template_label_disclosure_of_any_other_social_and_or_entity_specific_social_disclosures_validation</t>
  </si>
  <si>
    <t>template_label_disclosure_of_any_other_governance_and_or_entity_specific_governance_disclosures_validation</t>
  </si>
  <si>
    <t>1. Fill in the disclosures on the four worksheets (General Information, Environmental Disclosures, Social Disclosures, Governance Disclosures) in the white cells framed by a black border. Do not enter information outside of those cells. Searching in drop-downs can be done by typing into the cell. Hints (input messages) are shown in several cells when selecting them.</t>
  </si>
  <si>
    <t>4. Validate the data entered by checking the validation status. The report is considered incomplete or erroneous if the validation is fails, which might result in an invalid XBRL report.</t>
  </si>
  <si>
    <t>template_label_version</t>
  </si>
  <si>
    <t>template_label_publication_date</t>
  </si>
  <si>
    <t>template_label_taxonomy_entry_point</t>
  </si>
  <si>
    <t>template_label_select_template_display_language</t>
  </si>
  <si>
    <t>template_label_vsme_digital_template</t>
  </si>
  <si>
    <t>template_label_the_purpose_of_this_digital_template_is_to_illustrate_how_vsme_reporting_can_be_implemented_in_a_digital_template</t>
  </si>
  <si>
    <t>template_label_how_to_use_it</t>
  </si>
  <si>
    <t>template_label_0_provide_information_that_is_mandatory_in_order_to_generate_the_vsme_and_xbrl_report</t>
  </si>
  <si>
    <t>template_label_1_fill_in_the_disclosures_on_the_four_worksheets</t>
  </si>
  <si>
    <t>template_label_cell_background_color_index</t>
  </si>
  <si>
    <t>template_label_general_principles</t>
  </si>
  <si>
    <t>template_label_indicates_that_the_disclosure_is_from_the_general_principles_of_the_vsme</t>
  </si>
  <si>
    <t>template_label_basic_module</t>
  </si>
  <si>
    <t>template_label_indicates_that_the_disclosure_is_from_the_vsme_basic_module</t>
  </si>
  <si>
    <t>template_label_comprehensive_module</t>
  </si>
  <si>
    <t>template_label_indicates_that_the_disclosure_is_from_the_vsme_comprehensive_module</t>
  </si>
  <si>
    <t>template_label_indicates_that_the_cell_is_automatically_calculated_and_that_no_data_entry_is_required</t>
  </si>
  <si>
    <t>template_label_indicates_that_no_data_entry_is_required_unless_certain_logics_are_selected_in_the_disclosure_itself</t>
  </si>
  <si>
    <t>template_label_indicates_that_either_data_entry_is_incorrect_in_terms_of_format_or_that_certain_information</t>
  </si>
  <si>
    <t>template_label_indicates_that_data_entry_is_ok_and_the_undertaking_can_proceed_to_the_next_disclosure</t>
  </si>
  <si>
    <t>template_label_no_value_can_be_entered_in_the_cell</t>
  </si>
  <si>
    <t>template_label_lists_can_be_expanded_using_the_plus_button_on_the_left</t>
  </si>
  <si>
    <t>template_label_efrag_is_funded_by_the_european_union_through_the_single_market_programme</t>
  </si>
  <si>
    <t>template_label_reproduction_and_use_rights_are_strictly_limited</t>
  </si>
  <si>
    <t>template_label_2_find_more_information_on_the_actual_disclosure_requirements_in_the_vsme_standard</t>
  </si>
  <si>
    <t>template_label_4_validate_the_data_entered_by_checking_the_validation_status</t>
  </si>
  <si>
    <t>template_label_5_convert_this_template_to_an_inline_xbrl_report</t>
  </si>
  <si>
    <t>template_label_6_the_undertaking_may_also_upload_the_report_to_public_repositories_or_a_webpage</t>
  </si>
  <si>
    <t>template_label_3_for_open_tables_like_the_list_of_subsidizers_sites_please_expand_the_groups_by_clicking_the_plus</t>
  </si>
  <si>
    <t>template_label_indicates_that_the_datapoint_often_a_condition_will_not_be_included_in_the_vsme_and_digital_xbrl_report</t>
  </si>
  <si>
    <t>template_label_validation_missing_value_error_velue_inconsistency_invalid_url</t>
  </si>
  <si>
    <t>template_label_validation_ok</t>
  </si>
  <si>
    <t>Total employees (linked to B1)</t>
  </si>
  <si>
    <t>· child labour</t>
  </si>
  <si>
    <t>· forced labour</t>
  </si>
  <si>
    <t>· human trafficking</t>
  </si>
  <si>
    <t>· discrimination</t>
  </si>
  <si>
    <t>· accident prevention</t>
  </si>
  <si>
    <t>· other? ( if yes specify)</t>
  </si>
  <si>
    <t>template_label_amount_in</t>
  </si>
  <si>
    <t>amount in</t>
  </si>
  <si>
    <t>Total amount of fines for the violation of anti-corruption and anti-bribery laws</t>
  </si>
  <si>
    <t>Energy Consumption per Hour in MWh for Solid Fuels:</t>
  </si>
  <si>
    <t>Energy Consumption per Hour in MWh for Liquid Fuels:</t>
  </si>
  <si>
    <t>Energy [MWh] = Mass [t] * NCV [MWh/t]</t>
  </si>
  <si>
    <t>Mass [t] = Volume [L] * Density [t/L]</t>
  </si>
  <si>
    <t>Energy [MWh] = Mass [t] * [MWh/t]</t>
  </si>
  <si>
    <t>Energy Consumption per Hour in MWh for Gaseous Fuels:</t>
  </si>
  <si>
    <t>Usage of Unit of Measurement Converter</t>
  </si>
  <si>
    <t>Steps to follow for the Mass table:</t>
  </si>
  <si>
    <t>The steps to follow for the other tables (Volume, Energy Consumption, Density and NCV) are the same of the Mass table.</t>
  </si>
  <si>
    <t>Below are specified all the Units of measurement conversions of each table.</t>
  </si>
  <si>
    <t>Gg – Gigagram</t>
  </si>
  <si>
    <t>t – tonne</t>
  </si>
  <si>
    <t>Kg – Kilogram</t>
  </si>
  <si>
    <t>g – gram</t>
  </si>
  <si>
    <t>m³ – cubic meters</t>
  </si>
  <si>
    <t>L – Liter</t>
  </si>
  <si>
    <t>TJ – Terajoule</t>
  </si>
  <si>
    <t>MWh – Megawatt hours</t>
  </si>
  <si>
    <t>4. The outcome of the conversion will be displayed in the cell D6.</t>
  </si>
  <si>
    <t>2. Then in the cell B6 the amount of mass can be inserted.</t>
  </si>
  <si>
    <t>3. Finally in the cell D5 there should be the unit of measurement of interest.</t>
  </si>
  <si>
    <t>1. In the cell B5 of the table related to the Unit of measurement of Mass Converter should be inserted the Unit of measurement to convert.</t>
  </si>
  <si>
    <t>DISCLAIMER:</t>
  </si>
  <si>
    <t>This converter is intended solely to illustrate how energy consumption (in MWh) can be calculated from various fuel types. EFRAG assumes no responsibility or liability for the content or for any direct, indirect, or incidental consequences or damages resulting from the use of this fuel converter.</t>
  </si>
  <si>
    <t>Please note that the typical values for Net Calorific Value (NCV) and Density are provided for each fuel type. However, these parameters may vary depending on factors such as national regulations, specific characteristics of fuel providers, or other circumstances. Therefore, users are expected to manually enter or adjust the NCV and Density values to reflect their specific situation.</t>
  </si>
  <si>
    <t>Additionally, users are encouraged to determine the renewability status of each fuel based on Guarantees of Origin, as outlined in Article 19 of the European Directive 2018/2001/EC on the promotion of the use of energy from renewable sources. The default renewability status provided for each fuel is a typical assumption and should be adjusted if necessary, based on geographical or individual circumstances.</t>
  </si>
  <si>
    <t>7. In cell A28 is displayed the Total Energy in Mega Watt hours</t>
  </si>
  <si>
    <t>8. In cell A31 is displayed the Total Renewable Energy in Mega Watt hours</t>
  </si>
  <si>
    <t>9. In cell B31 is displayed the Total Non-renewable Energy in Mega Watt hours</t>
  </si>
  <si>
    <t>10. Further notes can be found below</t>
  </si>
  <si>
    <t>Mass [t] = Volume [m³] * Density [t/m³]</t>
  </si>
  <si>
    <t>template_label_fuel_converter</t>
  </si>
  <si>
    <t>template_label_disclaimer</t>
  </si>
  <si>
    <t>template_label_this_converter_is_intended_solely_to_illustrate_how_energy_consumption_in_mwh</t>
  </si>
  <si>
    <t>template_label_please_note_that_the_typical_values_for_net_calorific_value_and_density_are_provided_for_each_fuel_type</t>
  </si>
  <si>
    <t>template_label_indicates_that_the_cell_should_be_filled_either_by_selecting_a_value_from_the_dropdown</t>
  </si>
  <si>
    <t>template_label_fuel_type</t>
  </si>
  <si>
    <t>template_label_amount</t>
  </si>
  <si>
    <t>template_label_state_of_matter</t>
  </si>
  <si>
    <t>template_label_typical_renewable_state</t>
  </si>
  <si>
    <t>template_label_calculated_energy_in_mwh</t>
  </si>
  <si>
    <t>template_label_usage_of_fuel_converter</t>
  </si>
  <si>
    <t>template_label_2_in_cell_b9_select_the_unit_of_measurement_used</t>
  </si>
  <si>
    <t>template_label_3_in_cell_c9_select_the_amount_of_fuel_used</t>
  </si>
  <si>
    <t>template_label_4_in_cell_d9_it_is_displayed_the_state_of_matter_for_the_fuel_selected</t>
  </si>
  <si>
    <t>template_label_5_in_cell_e9_it_is_displayed_the_typical_renewability_state_for_the_fuel_selected</t>
  </si>
  <si>
    <t>template_label_6_in_cell_f9_is_displayed_the_energy_produced_in_mega_watt_hours_by_the_amount_of_fuel_specified</t>
  </si>
  <si>
    <t>template_label_7_in_cell_a28_is_displayed_the_total_energy_in_mega_watt_hours</t>
  </si>
  <si>
    <t>template_label_8_in_cell_a31_is_displayed_the_total_renewable_energy_in_mega_watt_hours</t>
  </si>
  <si>
    <t>template_label_10_further_notes_can_be_found_below</t>
  </si>
  <si>
    <t>template_label_transfer_the_total_results_to_the_b3_fuel_energy_consumption_reporting_cell</t>
  </si>
  <si>
    <t>template_label_total_energy</t>
  </si>
  <si>
    <t>template_label_total_renewable_energy</t>
  </si>
  <si>
    <t>template_label_further_notes</t>
  </si>
  <si>
    <t>template_label_the_converter_offers_the_possibility_of_calculating_simultaneously_up_to_10_different_types_of_fuel</t>
  </si>
  <si>
    <t>template_label_energy_consumption_per_hour_in_mwh_for_solid_fuels</t>
  </si>
  <si>
    <t>template_label_energy_solid_fuels</t>
  </si>
  <si>
    <t>template_label_energy_consumption_per_hour_in_mwh_for_liquid_fuels</t>
  </si>
  <si>
    <t>template_label_mass_liquid_fuels</t>
  </si>
  <si>
    <t>template_label_energy_liquid_fuels</t>
  </si>
  <si>
    <t>template_label_energy_consumption_per_hour_in_mwh_for_gaseous_fuels</t>
  </si>
  <si>
    <t>template_label_mass_gaseous_fuels</t>
  </si>
  <si>
    <t>template_label_energy_gaseous_fuels</t>
  </si>
  <si>
    <t>template_label_additionally_users_are_encouraged_to_determine_the_renewability_status_of_each_fuel_based_on_guarantees_of_origin</t>
  </si>
  <si>
    <t>template_label_1_in_cell_a9_select_the_fuel_used_searching_for_it_or_scrolling_down_the_list_displayed_clicking_the_cell</t>
  </si>
  <si>
    <t>template_label_9_in_cell_b31_is_displayed_the_total_nonrenewable_energy_in_mega_watt_hours</t>
  </si>
  <si>
    <t>template_label_total_nonrenewable_energy</t>
  </si>
  <si>
    <t xml:space="preserve">From </t>
  </si>
  <si>
    <t>▪ Unit of measurement of Mass Converter:</t>
  </si>
  <si>
    <t>▪ Unit of measurement of Volume Converter:</t>
  </si>
  <si>
    <t>▪ Unit of measurement of Energy Converter:</t>
  </si>
  <si>
    <t>▪ Unit of measurement of Density Converter:</t>
  </si>
  <si>
    <t>▪ Unit of measurement of NCV Converter:</t>
  </si>
  <si>
    <t>template_label_unit_of_measurement_converter</t>
  </si>
  <si>
    <t>template_label_unit_of_measurement_of_mass_converter</t>
  </si>
  <si>
    <t>template_label_unit_of_measurement_of_volume_converter</t>
  </si>
  <si>
    <t>template_label_unit_of_measurement_of_energy_consumption_per_hour</t>
  </si>
  <si>
    <t>template_label_usage_of_unit_of_measurement_converter</t>
  </si>
  <si>
    <t>template_label_steps_to_follow_for_the_mass_table</t>
  </si>
  <si>
    <t>template_label_from_capital_case</t>
  </si>
  <si>
    <t>template_label_below_are_specified_all_the_units_of_measurement_conversions_of_each_table</t>
  </si>
  <si>
    <t>template_label_unit_of_measurement_of_ncv_converter</t>
  </si>
  <si>
    <t>template_label_2_then_in_the_cell_b6_the_amount_of_mass_can_be_inserted</t>
  </si>
  <si>
    <t>template_label_3_finally_in_the_cell_d5_there_should_be_the_unit_of_measurement_of_interest</t>
  </si>
  <si>
    <t>template_label_4_the_outcome_of_the_conversion_will_be_displayed_in_the_cell_d6</t>
  </si>
  <si>
    <t>template_label_the_steps_to_follow_for_the_other_tables</t>
  </si>
  <si>
    <t>template_label_1_in_the_cell_b5_of_the_table_related_to_the_unit_of_measurement_of_mass_converter</t>
  </si>
  <si>
    <t>template_label_unit_of_measurement_of_density_converter</t>
  </si>
  <si>
    <t>template_label_unit_of_measurement_of_ncv_converter_list</t>
  </si>
  <si>
    <t>template_label_unit_of_measurement_of_density_converter_list</t>
  </si>
  <si>
    <t>template_label_unit_of_measurement_of_energy_converter_list</t>
  </si>
  <si>
    <t>template_label_unit_of_measurement_of_volume_converter_list</t>
  </si>
  <si>
    <t>template_label_unit_of_measurement_of_mass_converter_list</t>
  </si>
  <si>
    <t>INCOMPLETE</t>
  </si>
  <si>
    <t>COMPLETE</t>
  </si>
  <si>
    <t>template_label_incomplete</t>
  </si>
  <si>
    <t>template_label_complete</t>
  </si>
  <si>
    <t>MISSING VALUE</t>
  </si>
  <si>
    <t>ERROR</t>
  </si>
  <si>
    <t>VALUE INCONSISTENCY</t>
  </si>
  <si>
    <t>ERROR + VALUE INCONSISTENCY</t>
  </si>
  <si>
    <t>ERROR + MISSING VALUE + VALUE INCONSISTENCY</t>
  </si>
  <si>
    <t>ERROR + MISSING VALUE</t>
  </si>
  <si>
    <t>MISSING VALUE + VALUE INCONSISTENCY</t>
  </si>
  <si>
    <t>INVALID URL</t>
  </si>
  <si>
    <t>Description of main business relationships (such as key suppliers, customers, distribution channels)</t>
  </si>
  <si>
    <t>Most senior level within its employees that is accountable for implementing the policies when this has been determined by the undertaking</t>
  </si>
  <si>
    <t>C8 – Revenues from certain activities</t>
  </si>
  <si>
    <t>template_label_missing_value</t>
  </si>
  <si>
    <t>template_label_error</t>
  </si>
  <si>
    <t>template_label_value_inconsistency</t>
  </si>
  <si>
    <t>template_label_invalid_url</t>
  </si>
  <si>
    <t>template_label_error_plus_value_inconsistency</t>
  </si>
  <si>
    <t>template_label_error_plus_missing_value_plus_value_inconsistency</t>
  </si>
  <si>
    <t>template_label_error_plus_missing_value</t>
  </si>
  <si>
    <t>template_label_missing_value_plus_value_inconsistency</t>
  </si>
  <si>
    <t>de</t>
  </si>
  <si>
    <t>lt</t>
  </si>
  <si>
    <t>pl</t>
  </si>
  <si>
    <t>pt</t>
  </si>
  <si>
    <t>es</t>
  </si>
  <si>
    <t>1.1.0</t>
  </si>
  <si>
    <t>Any limits to the distribution of profits connected to the mutualistic nature or to the nature of the activities consisting in services of general economic interest (SGEI)</t>
  </si>
  <si>
    <t>Description of significant market(s) the undertaking operates in (e.g. B2B, wholesale, retail, countries)</t>
  </si>
  <si>
    <t>Total revenues derived from fossil fuel (coal oil and gas) sector (i.e. the undertaking derives revenues from exploration mining extraction production processing storage refining or distribution including transportation storage and trade of fossil fuels as defined in Article 2 point (62) of Regulation (EU) 2018 1999 of the European Parliament and the Council)</t>
  </si>
  <si>
    <t>Main title of the report</t>
  </si>
  <si>
    <t xml:space="preserve">Sustainability Report </t>
  </si>
  <si>
    <t>Transfer the total calculated results to the B3 "Fuel Energy Consumption" reporting cell</t>
  </si>
  <si>
    <r>
      <t xml:space="preserve">Types of  Wastes </t>
    </r>
    <r>
      <rPr>
        <sz val="11"/>
        <color theme="1"/>
        <rFont val="Aptos Narrow"/>
        <family val="2"/>
        <scheme val="minor"/>
      </rPr>
      <t>((Commission decision of 18 December 2014 
amending Decision 2000/532/EC on the list of waste pursuant to Directive 2008/98/EC of 
the European Parliament and of the Council)</t>
    </r>
  </si>
  <si>
    <t>01 - WASTES RESULTING FROM EXPLORATION, MINING, QUARRYING, AND PHYSICAL AND CHEMICAL TREATMENT OF MINERALS</t>
  </si>
  <si>
    <t>02 - WASTES FROM AGRICULTURE, HORTICULTURE, AQUACULTURE, FORESTRY, HUNTING AND FISHING, FOOD PREPARATION AND PROCESSING</t>
  </si>
  <si>
    <t>03 - WASTES FROM WOOD PROCESSING AND THE PRODUCTION OF PANELS AND FURNITURE, PULP, PAPER AND CARDBOARD</t>
  </si>
  <si>
    <t>04 - WASTES FROM THE LEATHER, FUR AND TEXTILE INDUSTRIES</t>
  </si>
  <si>
    <t>05 - WASTES FROM PETROLEUM REFINING, NATURAL GAS PURIFICATION AND PYROLYTIC TREATMENT OF COAL</t>
  </si>
  <si>
    <t>06 - WASTES FROM INORGANIC CHEMICAL PROCESSES</t>
  </si>
  <si>
    <t>07 - WASTES FROM ORGANIC CHEMICAL PROCESSES</t>
  </si>
  <si>
    <t>08 - WASTES FROM THE MANUFACTURE, FORMULATION, SUPPLY AND USE (MFSU) OF COATINGS (PAINTS, VARNISHES AND VITREOUS ENAMELS), ADHESIVES, SEALANTS AND PRINTING INKS</t>
  </si>
  <si>
    <t>09 - WASTES FROM THE PHOTOGRAPHIC INDUSTRY</t>
  </si>
  <si>
    <t>10 - WASTES FROM THERMAL PROCESSES</t>
  </si>
  <si>
    <t>11 - WASTES FROM CHEMICAL SURFACE TREATMENT AND COATING OF METALS AND OTHER MATERIALS; NON-FERROUS HYDRO-METALLURGY</t>
  </si>
  <si>
    <t>12 - WASTES FROM SHAPING AND PHYSICAL AND MECHANICAL SURFACE TREATMENT OF METALS AND PLASTICS</t>
  </si>
  <si>
    <t>13 - OIL WASTES AND WASTES OF LIQUID FUELS (except edible oils, and those in chapters 05, 12 and 19)</t>
  </si>
  <si>
    <t>14 - WASTE ORGANIC SOLVENTS, REFRIGERANTS AND PROPELLANTS (except 07 and 08)</t>
  </si>
  <si>
    <t>15 - WASTE PACKAGING; ABSORBENTS, WIPING CLOTHS, FILTER MATERIALS AND PROTECTIVE CLOTHING NOT OTHERWISE SPECIFIED</t>
  </si>
  <si>
    <t>16 - WASTES NOT OTHERWISE SPECIFIED IN THE LIST</t>
  </si>
  <si>
    <t>17 - CONSTRUCTION AND DEMOLITION WASTES (INCLUDING EXCAVATED SOIL FROM CONTAMINATED SITES)</t>
  </si>
  <si>
    <t>18 - WASTES FROM HUMAN OR ANIMAL HEALTH CARE AND/OR RELATED RESEARCH (except kitchen and restaurant wastes not arising from immediate health care)</t>
  </si>
  <si>
    <t>19 - WASTES FROM WASTE MANAGEMENT FACILITIES, OFF-SITE WASTE WATER TREATMENT PLANTS AND THE PREPARATION OF WATER INTENDED FOR HUMAN CONSUMPTION AND WATER FOR INDUSTRIAL USE</t>
  </si>
  <si>
    <t>20 - MUNICIPAL WASTES (HOUSEHOLD WASTE AND SIMILAR COMMERCIAL, INDUSTRIAL AND INSTITUTIONAL WASTES) INCLUDING SEPARATELY COLLECTED FRACTIONS</t>
  </si>
  <si>
    <t>Subtitle of the report</t>
  </si>
  <si>
    <t xml:space="preserve">  01 01 - Wastes from mineral excavation</t>
  </si>
  <si>
    <t xml:space="preserve">    01 01 01 - Non-Hazardous - Wastes from mineral metalliferous excavation</t>
  </si>
  <si>
    <t xml:space="preserve">    01 01 02 - Non-Hazardous - Wastes from mineral non-metalliferous excavation</t>
  </si>
  <si>
    <t xml:space="preserve">  01 03 - Wastes from physical and chemical processing of metalliferous minerals</t>
  </si>
  <si>
    <t xml:space="preserve">    01 03 04 - Hazardous - Acid-generating tailings from processing of sulphide ore</t>
  </si>
  <si>
    <t xml:space="preserve">    01 03 05 - Hazardous - Other tailings containing hazardous substances</t>
  </si>
  <si>
    <t xml:space="preserve">    01 03 06 - Non-Hazardous - Tailings other than those mentioned in 01 03 04 and 01 03 05</t>
  </si>
  <si>
    <t xml:space="preserve">    01 03 07 - Hazardous - Other wastes containing hazardous substances from physical and chemical processing of metalliferous minerals</t>
  </si>
  <si>
    <t xml:space="preserve">    01 03 08 - Non-Hazardous - Dusty and powdery wastes other than those mentioned in 01 03 07</t>
  </si>
  <si>
    <t xml:space="preserve">    01 03 09 - Non-Hazardous - Red mud from alumina production other than the wastes mentioned in 01 03 10</t>
  </si>
  <si>
    <t xml:space="preserve">    01 03 10 - Hazardous - Red mud from alumina production containing hazardous substances other than the wastes mentioned in 01 03 07</t>
  </si>
  <si>
    <t xml:space="preserve">    01 03 99 - Non-Hazardous - Wastes not otherwise specified</t>
  </si>
  <si>
    <t xml:space="preserve">  01 04 - Wastes from physical and chemical processing of non-metalliferous minerals</t>
  </si>
  <si>
    <t xml:space="preserve">    01 04 07 - Hazardous - Wastes containing hazardous substances from physical and chemical processing of non-metalliferous minerals</t>
  </si>
  <si>
    <t xml:space="preserve">    01 04 08 - Non-Hazardous - Waste gravel and crushed rocks other than those mentioned in 01 04 07</t>
  </si>
  <si>
    <t xml:space="preserve">    01 04 09 - Non-Hazardous - Waste sand and clays</t>
  </si>
  <si>
    <t xml:space="preserve">    01 04 10 - Non-Hazardous - Dusty and powdery wastes other than those mentioned in 01 04 07</t>
  </si>
  <si>
    <t xml:space="preserve">    01 04 11 - Non-Hazardous - Wastes from potash and rock salt processing other than those mentioned in 01 04 07</t>
  </si>
  <si>
    <t xml:space="preserve">    01 04 12 - Non-Hazardous - Tailings and other wastes from washing and cleaning of minerals other than those mentioned in 01 04 07 and 01 04 11</t>
  </si>
  <si>
    <t xml:space="preserve">    01 04 13 - Non-Hazardous - Wastes from stone cutting and sawing other than those mentioned in 01 04 07</t>
  </si>
  <si>
    <t xml:space="preserve">    01 04 99 - Non-Hazardous - Wastes not otherwise specified</t>
  </si>
  <si>
    <t xml:space="preserve">  01 05 - Drilling muds and other drilling wastes</t>
  </si>
  <si>
    <t xml:space="preserve">    01 05 04 - Non-Hazardous - Freshwater drilling muds and wastes</t>
  </si>
  <si>
    <t xml:space="preserve">    01 05 05 - Hazardous - Oil-containing drilling muds and wastes</t>
  </si>
  <si>
    <t xml:space="preserve">    01 05 06 - Hazardous - Drilling muds and other drilling wastes containing hazardous substances</t>
  </si>
  <si>
    <t xml:space="preserve">    01 05 07 - Non-Hazardous - Barite-containing drilling muds and wastes other than those mentioned in 01 05 05 and 01 05 06</t>
  </si>
  <si>
    <t xml:space="preserve">    01 05 08 - Non-Hazardous - Chloride-containing drilling muds and wastes other than those mentioned in 01 05 05 and 01 05 06</t>
  </si>
  <si>
    <t xml:space="preserve">    01 05 99 - Non-Hazardous - Wastes not otherwise specified</t>
  </si>
  <si>
    <t xml:space="preserve">  02 01 - Wastes from agriculture, horticulture, aquaculture, forestry, hunting and fishing</t>
  </si>
  <si>
    <t xml:space="preserve">    02 01 01 - Non-Hazardous - Sludges from washing and cleaning</t>
  </si>
  <si>
    <t xml:space="preserve">    02 01 02 - Non-Hazardous - Animal-tissue waste</t>
  </si>
  <si>
    <t xml:space="preserve">    02 01 03 - Non-Hazardous - Plant-tissue waste</t>
  </si>
  <si>
    <t xml:space="preserve">    02 01 04 - Non-Hazardous - Waste plastics (except packaging)</t>
  </si>
  <si>
    <t xml:space="preserve">    02 01 06 - Non-Hazardous - Animal faeces, urine and manure (including spoiled straw), effluent, collected separately and treated off-site</t>
  </si>
  <si>
    <t xml:space="preserve">    02 01 07 - Non-Hazardous - Wastes from forestry</t>
  </si>
  <si>
    <t xml:space="preserve">    02 01 08 - Hazardous - Agrochemical waste containing hazardous substances</t>
  </si>
  <si>
    <t xml:space="preserve">    02 01 09 - Non-Hazardous - Agrochemical waste other than those mentioned in 02 01 08</t>
  </si>
  <si>
    <t xml:space="preserve">    02 01 10 - Non-Hazardous - Waste metal</t>
  </si>
  <si>
    <t xml:space="preserve">    02 01 99 - Non-Hazardous - Wastes not otherwise specified</t>
  </si>
  <si>
    <t xml:space="preserve">  02 02 - Wastes from the preparation and processing of meat, fish and other foods of animal origin</t>
  </si>
  <si>
    <t xml:space="preserve">    02 02 01 - Non-Hazardous - Sludges from washing and cleaning</t>
  </si>
  <si>
    <t xml:space="preserve">    02 02 02 - Non-Hazardous - Animal-tissue waste</t>
  </si>
  <si>
    <t xml:space="preserve">    02 02 03 - Non-Hazardous - Materials unsuitable for consumption or processing</t>
  </si>
  <si>
    <t xml:space="preserve">    02 02 04 - Non-Hazardous - Sludges from on-site effluent treatment</t>
  </si>
  <si>
    <t xml:space="preserve">    02 02 99 - Non-Hazardous - Wastes not otherwise specified</t>
  </si>
  <si>
    <t xml:space="preserve">  02 03 - Wastes from fruit, vegetables, cereals, edible oils, cocoa, coffee, tea and tobacco preparation and processing; conserve production; yeast and yeast extract production, molasses preparation and fermentation</t>
  </si>
  <si>
    <t xml:space="preserve">    02 03 01 - Non-Hazardous - Sludges from washing, cleaning, peeling, centrifuging and separation</t>
  </si>
  <si>
    <t xml:space="preserve">    02 03 02 - Non-Hazardous - Wastes from preserving agents</t>
  </si>
  <si>
    <t xml:space="preserve">    02 03 03 - Non-Hazardous - Wastes from solvent extraction</t>
  </si>
  <si>
    <t xml:space="preserve">    02 03 04 - Non-Hazardous - Materials unsuitable for consumption or processing</t>
  </si>
  <si>
    <t xml:space="preserve">    02 03 05 - Non-Hazardous - Sludges from on-site effluent treatment</t>
  </si>
  <si>
    <t xml:space="preserve">    02 03 99 - Non-Hazardous - Wastes not otherwise specified</t>
  </si>
  <si>
    <t xml:space="preserve">  02 04 - Wastes from sugar processing</t>
  </si>
  <si>
    <t xml:space="preserve">    02 04 01 - Non-Hazardous - Soil from cleaning and washing beet</t>
  </si>
  <si>
    <t xml:space="preserve">    02 04 02 - Non-Hazardous - Off-specification calcium carbonate</t>
  </si>
  <si>
    <t xml:space="preserve">    02 04 03 - Non-Hazardous - Sludges from on-site effluent treatment</t>
  </si>
  <si>
    <t xml:space="preserve">    02 04 99 - Non-Hazardous - Wastes not otherwise specified</t>
  </si>
  <si>
    <t xml:space="preserve">  02 05 - Wastes from the dairy products industry</t>
  </si>
  <si>
    <t xml:space="preserve">    02 05 01 - Non-Hazardous - Materials unsuitable for consumption or processing</t>
  </si>
  <si>
    <t xml:space="preserve">    02 05 02 - Non-Hazardous - Sludges from on-site effluent treatment</t>
  </si>
  <si>
    <t xml:space="preserve">    02 05 99 - Non-Hazardous - Wastes not otherwise specified</t>
  </si>
  <si>
    <t xml:space="preserve">  02 06 - Wastes from the baking and confectionery industry</t>
  </si>
  <si>
    <t xml:space="preserve">    02 06 01 - Non-Hazardous - Materials unsuitable for consumption or processing</t>
  </si>
  <si>
    <t xml:space="preserve">    02 06 02 - Non-Hazardous - Wastes from preserving agents</t>
  </si>
  <si>
    <t xml:space="preserve">    02 06 03 - Non-Hazardous - Sludges from on-site effluent treatment</t>
  </si>
  <si>
    <t xml:space="preserve">    02 06 99 - Non-Hazardous - Wastes not otherwise specified</t>
  </si>
  <si>
    <t xml:space="preserve">  02 07 - Wastes from the production of alcoholic and non-alcoholic beverages (except coffee, tea and cocoa)</t>
  </si>
  <si>
    <t xml:space="preserve">    02 07 01 - Non-Hazardous - Wastes from washing, cleaning and mechanical reduction of raw materials</t>
  </si>
  <si>
    <t xml:space="preserve">    02 07 02 - Non-Hazardous - Wastes from spirits distillation</t>
  </si>
  <si>
    <t xml:space="preserve">    02 07 03 - Non-Hazardous - Wastes from chemical treatment</t>
  </si>
  <si>
    <t xml:space="preserve">    02 07 04 - Non-Hazardous - Materials unsuitable for consumption or processing</t>
  </si>
  <si>
    <t xml:space="preserve">    02 07 05 - Non-Hazardous - Sludges from on-site effluent treatment</t>
  </si>
  <si>
    <t xml:space="preserve">    02 07 99 - Non-Hazardous - Wastes not otherwise specified</t>
  </si>
  <si>
    <t xml:space="preserve">  03 01 - Wastes from wood processing and the production of panels and furniture</t>
  </si>
  <si>
    <t xml:space="preserve">    03 01 01 - Non-Hazardous - Waste bark and cork</t>
  </si>
  <si>
    <t xml:space="preserve">    03 01 04 - Hazardous - Sawdust, shavings, cuttings, wood, particle board and veneer containing hazardous substances</t>
  </si>
  <si>
    <t xml:space="preserve">    03 01 05 - Non-Hazardous - Sawdust, shavings, cuttings, wood, particle board and veneer other than those mentioned in 03 01 04</t>
  </si>
  <si>
    <t xml:space="preserve">    03 01 99 - Non-Hazardous - Wastes not otherwise specified</t>
  </si>
  <si>
    <t xml:space="preserve">  03 02 - Wastes from wood preservation</t>
  </si>
  <si>
    <t xml:space="preserve">    03 02 01 - Hazardous - Non-halogenated organic wood preservatives</t>
  </si>
  <si>
    <t xml:space="preserve">    03 02 02 - Hazardous - Organochlorinated wood preservatives</t>
  </si>
  <si>
    <t xml:space="preserve">    03 02 03 - Hazardous - Organometallic wood preservatives</t>
  </si>
  <si>
    <t xml:space="preserve">    03 02 04 - Hazardous - Inorganic wood preservatives</t>
  </si>
  <si>
    <t xml:space="preserve">    03 02 05 - Hazardous - Other wood preservatives containing hazardous substances</t>
  </si>
  <si>
    <t xml:space="preserve">    03 02 99 - Non-Hazardous - Wood preservatives not otherwise specified</t>
  </si>
  <si>
    <t xml:space="preserve">  03 03 - Wastes from pulp, paper and cardboard production and processing</t>
  </si>
  <si>
    <t xml:space="preserve">    03 03 01 - Non-Hazardous - Waste bark and wood</t>
  </si>
  <si>
    <t xml:space="preserve">    03 03 02 - Non-Hazardous - Green liquor sludge (from recovery of cooking liquor)</t>
  </si>
  <si>
    <t xml:space="preserve">    03 03 05 - Non-Hazardous - De-inking sludges from paper recycling</t>
  </si>
  <si>
    <t xml:space="preserve">    03 03 07 - Non-Hazardous - Mechanically separated rejects from pulping of waste paper and cardboard</t>
  </si>
  <si>
    <t xml:space="preserve">    03 03 08 - Non-Hazardous - Wastes from sorting of paper and cardboard destined for recycling</t>
  </si>
  <si>
    <t xml:space="preserve">    03 03 09 - Non-Hazardous - Lime mud waste</t>
  </si>
  <si>
    <t xml:space="preserve">    03 03 10 - Non-Hazardous - Fibre rejects, fibre-, filler- and coating-sludges from mechanical separation</t>
  </si>
  <si>
    <t xml:space="preserve">    03 03 11 - Non-Hazardous - Sludges from on-site effluent treatment other than those mentioned in 03 03 10</t>
  </si>
  <si>
    <t xml:space="preserve">    03 03 99 - Non-Hazardous - Wastes not otherwise specified</t>
  </si>
  <si>
    <t xml:space="preserve">  04 01 - Wastes from the leather and fur industry</t>
  </si>
  <si>
    <t xml:space="preserve">    04 01 01 - Non-Hazardous - Fleshings and lime split wastes</t>
  </si>
  <si>
    <t xml:space="preserve">    04 01 02 - Non-Hazardous - Liming waste</t>
  </si>
  <si>
    <t xml:space="preserve">    04 01 03 - Hazardous - Degreasing wastes containing solvents without a liquid phase</t>
  </si>
  <si>
    <t xml:space="preserve">    04 01 04 - Non-Hazardous - Tanning liquor containing chromium</t>
  </si>
  <si>
    <t xml:space="preserve">    04 01 05 - Non-Hazardous - Tanning liquor free of chromium</t>
  </si>
  <si>
    <t xml:space="preserve">    04 01 06 - Non-Hazardous - Sludges, in particular from on-site effluent treatment containing chromium</t>
  </si>
  <si>
    <t xml:space="preserve">    04 01 07 - Non-Hazardous - Sludges, in particular from on-site effluent treatment free of chromium</t>
  </si>
  <si>
    <t xml:space="preserve">    04 01 08 - Non-Hazardous - Waste tanned leather (blue sheetings, shavings, cuttings, buffing dust) containing chromium</t>
  </si>
  <si>
    <t xml:space="preserve">    04 01 09 - Non-Hazardous - Wastes from dressing and finishing</t>
  </si>
  <si>
    <t xml:space="preserve">    04 01 99 - Non-Hazardous - Wastes not otherwise specified</t>
  </si>
  <si>
    <t xml:space="preserve">  04 02 - Wastes from the textile industry</t>
  </si>
  <si>
    <t xml:space="preserve">    04 02 09 - Non-Hazardous - Wastes from composite materials (impregnated textile, elastomer, plastomer)</t>
  </si>
  <si>
    <t xml:space="preserve">    04 02 10 - Non-Hazardous - Organic matter from natural products (for example grease, wax)</t>
  </si>
  <si>
    <t xml:space="preserve">    04 02 14 - Hazardous - Wastes from finishing containing organic solvents</t>
  </si>
  <si>
    <t xml:space="preserve">    04 02 15 - Non-Hazardous - Wastes from finishing other than those mentioned in 04 02 14</t>
  </si>
  <si>
    <t xml:space="preserve">    04 02 16 - Hazardous - Dyestuffs and pigments containing hazardous substances</t>
  </si>
  <si>
    <t xml:space="preserve">    04 02 17 - Non-Hazardous - Dyestuffs and pigments other than those mentioned in 04 02 16</t>
  </si>
  <si>
    <t xml:space="preserve">    04 02 19 - Hazardous - Sludges from on-site effluent treatment containing hazardous substances</t>
  </si>
  <si>
    <t xml:space="preserve">    04 02 20 - Non-Hazardous - Sludges from on-site effluent treatment other than those mentioned in 04 02 19</t>
  </si>
  <si>
    <t xml:space="preserve">    04 02 21 - Non-Hazardous - Wastes from unprocessed textile fibres</t>
  </si>
  <si>
    <t xml:space="preserve">    04 02 22 - Non-Hazardous - Wastes from processed textile fibres</t>
  </si>
  <si>
    <t xml:space="preserve">    04 02 99 - Non-Hazardous - Wastes not otherwise specified</t>
  </si>
  <si>
    <t xml:space="preserve">  05 01 - Wastes from petroleum refining</t>
  </si>
  <si>
    <t xml:space="preserve">    05 01 02 - Hazardous - Desalter sludges</t>
  </si>
  <si>
    <t xml:space="preserve">    05 01 03 - Hazardous - Tank bottom sludges</t>
  </si>
  <si>
    <t xml:space="preserve">    05 01 04 - Hazardous - Acid alkyl sludges</t>
  </si>
  <si>
    <t xml:space="preserve">    05 01 05 - Hazardous - Oil spills</t>
  </si>
  <si>
    <t xml:space="preserve">    05 01 06 - Hazardous - Oily sludges from maintenance operations of the plant or equipment</t>
  </si>
  <si>
    <t xml:space="preserve">    05 01 07 - Hazardous - Acid tars</t>
  </si>
  <si>
    <t xml:space="preserve">    05 01 08 - Hazardous - Other tars</t>
  </si>
  <si>
    <t xml:space="preserve">    05 01 09 - Hazardous - Sludges from on-site effluent treatment containing hazardous substances</t>
  </si>
  <si>
    <t xml:space="preserve">    05 01 10 - Non-Hazardous - Sludges from on-site effluent treatment other than those mentioned in 05 01 09</t>
  </si>
  <si>
    <t xml:space="preserve">    05 01 11 - Hazardous - Wastes from cleaning of fuels with bases</t>
  </si>
  <si>
    <t xml:space="preserve">    05 01 12 - Hazardous - Oil containing acids</t>
  </si>
  <si>
    <t xml:space="preserve">    05 01 13 - Non-Hazardous - Boiler feedwater sludges</t>
  </si>
  <si>
    <t xml:space="preserve">    05 01 14 - Non-Hazardous - Wastes from cooling columns</t>
  </si>
  <si>
    <t xml:space="preserve">    05 01 15 - Hazardous - Spent filter clays</t>
  </si>
  <si>
    <t xml:space="preserve">    05 01 16 - Non-Hazardous - Sulphur-containing wastes from petroleum desulphurisation</t>
  </si>
  <si>
    <t xml:space="preserve">    05 01 17 - Non-Hazardous - Bitumen</t>
  </si>
  <si>
    <t xml:space="preserve">    05 01 99 - Non-Hazardous - Wastes not otherwise specified</t>
  </si>
  <si>
    <t xml:space="preserve">  05 06 - Wastes from the pyrolytic treatment of coal</t>
  </si>
  <si>
    <t xml:space="preserve">    05 06 01 - Hazardous - Acid tars</t>
  </si>
  <si>
    <t xml:space="preserve">    05 06 03 - Hazardous - Other tars</t>
  </si>
  <si>
    <t xml:space="preserve">    05 06 04 - Non-Hazardous - Waste from cooling columns</t>
  </si>
  <si>
    <t xml:space="preserve">    05 06 99 - Non-Hazardous - Wastes not otherwise specified</t>
  </si>
  <si>
    <t xml:space="preserve">  05 07 - Wastes from natural gas purification and transportation</t>
  </si>
  <si>
    <t xml:space="preserve">    05 07 01 - Hazardous - Wastes containing mercury</t>
  </si>
  <si>
    <t xml:space="preserve">    05 07 02 - Non-Hazardous - Wastes containing sulphur</t>
  </si>
  <si>
    <t xml:space="preserve">    05 07 99 - Non-Hazardous - Wastes not otherwise specified</t>
  </si>
  <si>
    <t xml:space="preserve">  06 01 - Wastes from the manufacture, formulation, supply and use (MFSU) of acids</t>
  </si>
  <si>
    <t xml:space="preserve">    06 01 01 - Hazardous - Sulphuric acid and sulphurous acid</t>
  </si>
  <si>
    <t xml:space="preserve">    06 01 02 - Hazardous - Hydrochloric acid</t>
  </si>
  <si>
    <t xml:space="preserve">    06 01 03 - Hazardous - Hydrofluoric acid</t>
  </si>
  <si>
    <t xml:space="preserve">    06 01 04 - Hazardous - Phosphoric and phosphorous acid</t>
  </si>
  <si>
    <t xml:space="preserve">    06 01 05 - Hazardous - Nitric acid and nitrous acid</t>
  </si>
  <si>
    <t xml:space="preserve">    06 01 06 - Hazardous - Other acids</t>
  </si>
  <si>
    <t xml:space="preserve">    06 01 99 - Non-Hazardous - Wastes not otherwise specified</t>
  </si>
  <si>
    <t xml:space="preserve">  06 02 - Wastes from the MFSU of bases</t>
  </si>
  <si>
    <t xml:space="preserve">    06 02 01 - Hazardous - Calcium hydroxide</t>
  </si>
  <si>
    <t xml:space="preserve">    06 02 03 - Hazardous - Ammonium hydroxide</t>
  </si>
  <si>
    <t xml:space="preserve">    06 02 04 - Hazardous - Sodium and potassium hydroxide</t>
  </si>
  <si>
    <t xml:space="preserve">    06 02 05 - Hazardous - Other bases</t>
  </si>
  <si>
    <t xml:space="preserve">    06 02 99 - Non-Hazardous - Wastes not otherwise specified</t>
  </si>
  <si>
    <t xml:space="preserve">  06 03 - Wastes from the MFSU of salts and their solutions and metallic oxides</t>
  </si>
  <si>
    <t xml:space="preserve">    06 03 11 - Hazardous - Solid salts and solutions containing cyanides</t>
  </si>
  <si>
    <t xml:space="preserve">    06 03 13 - Hazardous - Solid salts and solutions containing heavy metals</t>
  </si>
  <si>
    <t xml:space="preserve">    06 03 14 - Non-Hazardous - Solid salts and solutions other than those mentioned in 06 03 11 and 06 03 13</t>
  </si>
  <si>
    <t xml:space="preserve">    06 03 15 - Hazardous - Metallic oxides containing heavy metals</t>
  </si>
  <si>
    <t xml:space="preserve">    06 03 16 - Non-Hazardous - Metallic oxides other than those mentioned in 06 03 15</t>
  </si>
  <si>
    <t xml:space="preserve">    06 03 99 - Non-Hazardous - Wastes not otherwise specified</t>
  </si>
  <si>
    <t xml:space="preserve">  06 04 - Metal-containing wastes other than those mentioned in 06 03</t>
  </si>
  <si>
    <t xml:space="preserve">    06 04 03 - Hazardous - Wastes containing arsenic</t>
  </si>
  <si>
    <t xml:space="preserve">    06 04 04 - Hazardous - Wastes containing mercury</t>
  </si>
  <si>
    <t xml:space="preserve">    06 04 05 - Hazardous - Wastes containing other heavy metals</t>
  </si>
  <si>
    <t xml:space="preserve">    06 04 99 - Non-Hazardous - Wastes not otherwise specified</t>
  </si>
  <si>
    <t xml:space="preserve">  06 05 - Sludges from on-site effluent treatment</t>
  </si>
  <si>
    <t xml:space="preserve">    06 05 02 - Hazardous - Sludges from on-site effluent treatment containing hazardous substances</t>
  </si>
  <si>
    <t xml:space="preserve">    06 05 03 - Non-Hazardous - Sludges from on-site effluent treatment other than those mentioned in 06 05 02</t>
  </si>
  <si>
    <t xml:space="preserve">  06 06 - Wastes from the MFSU of sulphur chemicals, sulphur chemical processes and desulphurisation processes</t>
  </si>
  <si>
    <t xml:space="preserve">    06 06 02 - Hazardous - Wastes containing hazardous sulphides</t>
  </si>
  <si>
    <t xml:space="preserve">    06 06 03 - Non-Hazardous - Wastes containing sulphides other than those mentioned in 06 06 02</t>
  </si>
  <si>
    <t xml:space="preserve">    06 06 99 - Non-Hazardous - Wastes not otherwise specified</t>
  </si>
  <si>
    <t xml:space="preserve">  06 07 - Wastes from the MFSU of halogens and halogen chemical processes</t>
  </si>
  <si>
    <t xml:space="preserve">    06 07 01 - Hazardous - Wastes containing asbestos from electrolysis</t>
  </si>
  <si>
    <t xml:space="preserve">    06 07 02 - Hazardous - Activated carbon from chlorine production</t>
  </si>
  <si>
    <t xml:space="preserve">    06 07 03 - Hazardous - Barium sulphate sludge containing mercury</t>
  </si>
  <si>
    <t xml:space="preserve">    06 07 04 - Hazardous - Solutions and acids, for example contact acid</t>
  </si>
  <si>
    <t xml:space="preserve">    06 07 99 - Non-Hazardous - Wastes not otherwise specified</t>
  </si>
  <si>
    <t xml:space="preserve">  06 08 - Wastes from the MFSU of silicon and silicon derivatives</t>
  </si>
  <si>
    <t xml:space="preserve">    06 08 02 - Hazardous - Waste containing hazardous chlorosilanes</t>
  </si>
  <si>
    <t xml:space="preserve">    06 08 99 - Non-Hazardous - Wastes not otherwise specified</t>
  </si>
  <si>
    <t xml:space="preserve">  06 09 - Wastes from the MSFU of phosphorous chemicals and phosphorous chemical processes</t>
  </si>
  <si>
    <t xml:space="preserve">    06 09 02 - Non-Hazardous - Phosphorous slag</t>
  </si>
  <si>
    <t xml:space="preserve">    06 09 03 - Hazardous - Calcium-based reaction wastes containing or contaminated with hazardous substances</t>
  </si>
  <si>
    <t xml:space="preserve">    06 09 04 - Non-Hazardous - Calcium-based reaction wastes other than those mentioned in 06 09 03</t>
  </si>
  <si>
    <t xml:space="preserve">    06 09 99 - Non-Hazardous - Wastes not otherwise specified</t>
  </si>
  <si>
    <t xml:space="preserve">  06 10 - Wastes from the MFSU of nitrogen chemicals, nitrogen chemical processes and fertiliser manufacture</t>
  </si>
  <si>
    <t xml:space="preserve">    06 10 02 - Hazardous - Wastes containing hazardous substances</t>
  </si>
  <si>
    <t xml:space="preserve">    06 10 99 - Non-Hazardous - Wastes not otherwise specified</t>
  </si>
  <si>
    <t xml:space="preserve">  06 11 - Wastes from the manufacture of inorganic pigments and opacificiers</t>
  </si>
  <si>
    <t xml:space="preserve">    06 11 01 - Non-Hazardous - Calcium-based reaction wastes from titanium dioxide production</t>
  </si>
  <si>
    <t xml:space="preserve">    06 11 99 - Non-Hazardous - Wastes not otherwise specified</t>
  </si>
  <si>
    <t xml:space="preserve">  06 13 - Wastes from inorganic chemical processes not otherwise specified</t>
  </si>
  <si>
    <t xml:space="preserve">    06 13 01 - Hazardous - Inorganic plant protection products, wood-preserving agents and other biocides.</t>
  </si>
  <si>
    <t xml:space="preserve">    06 13 02 - Hazardous - Spent activated carbon (except 06 07 02)</t>
  </si>
  <si>
    <t xml:space="preserve">    06 13 03 - Non-Hazardous - Carbon black</t>
  </si>
  <si>
    <t xml:space="preserve">    06 13 04 - Hazardous - Wastes from asbestos processing</t>
  </si>
  <si>
    <t xml:space="preserve">    06 13 05 - Hazardous - Soot</t>
  </si>
  <si>
    <t xml:space="preserve">    06 13 99 - Non-Hazardous - Wastes not otherwise specified</t>
  </si>
  <si>
    <t xml:space="preserve">  07 01 - Wastes from the manufacture, formulation, supply and use (MFSU) of basic organic chemicals</t>
  </si>
  <si>
    <t xml:space="preserve">    07 01 01 - Hazardous - Aqueous washing liquids and mother liquors</t>
  </si>
  <si>
    <t xml:space="preserve">    07 01 03 - Hazardous - Organic halogenated solvents, washing liquids and mother liquors</t>
  </si>
  <si>
    <t xml:space="preserve">    07 01 04 - Hazardous - Other organic solvents, washing liquids and mother liquors</t>
  </si>
  <si>
    <t xml:space="preserve">    07 01 07 - Hazardous - Halogenated still bottoms and reaction residues</t>
  </si>
  <si>
    <t xml:space="preserve">    07 01 08 - Hazardous - Other still bottoms and reaction residues</t>
  </si>
  <si>
    <t xml:space="preserve">    07 01 09 - Hazardous - Halogenated filter cakes and spent absorbents</t>
  </si>
  <si>
    <t xml:space="preserve">    07 01 10 - Hazardous - Other filter cakes and spent absorbents</t>
  </si>
  <si>
    <t xml:space="preserve">    07 01 11 - Hazardous - Sludges from on-site effluent treatment containing hazardous substances</t>
  </si>
  <si>
    <t xml:space="preserve">    07 01 12 - Non-Hazardous - Sludges from on-site effluent treatment other than those mentioned in 07 01 11</t>
  </si>
  <si>
    <t xml:space="preserve">    07 01 99 - Non-Hazardous - Wastes not otherwise specified</t>
  </si>
  <si>
    <t xml:space="preserve">  07 02 - Wastes from the MFSU of plastics, synthetic rubber and man-made fibres</t>
  </si>
  <si>
    <t xml:space="preserve">    07 02 01 - Hazardous - Aqueous washing liquids and mother liquors</t>
  </si>
  <si>
    <t xml:space="preserve">    07 02 03 - Hazardous - Organic halogenated solvents, washing liquids and mother liquors</t>
  </si>
  <si>
    <t xml:space="preserve">    07 02 04 - Hazardous - Other organic solvents, washing liquids and mother liquors</t>
  </si>
  <si>
    <t xml:space="preserve">    07 02 07 - Hazardous - Halogenated still bottoms and reaction residues</t>
  </si>
  <si>
    <t xml:space="preserve">    07 02 08 - Hazardous - Other still bottoms and reaction residues</t>
  </si>
  <si>
    <t xml:space="preserve">    07 02 09 - Hazardous - Halogenated filter cakes and spent absorbents</t>
  </si>
  <si>
    <t xml:space="preserve">    07 02 10 - Hazardous - Other filter cakes and spent absorbents</t>
  </si>
  <si>
    <t xml:space="preserve">    07 02 11 - Hazardous - Sludges from on-site effluent treatment containing hazardous substances</t>
  </si>
  <si>
    <t xml:space="preserve">    07 02 12 - Non-Hazardous - Sludges from on-site effluent treatment other than those mentioned in 07 02 11</t>
  </si>
  <si>
    <t xml:space="preserve">    07 02 13 - Non-Hazardous - Waste plastic</t>
  </si>
  <si>
    <t xml:space="preserve">    07 02 14 - Hazardous - Wastes from additives containing hazardous substances</t>
  </si>
  <si>
    <t xml:space="preserve">    07 02 15 - Non-Hazardous - Wastes from additives other than those mentioned in 07 02 14</t>
  </si>
  <si>
    <t xml:space="preserve">    07 02 16 - Hazardous - Waste containing hazardous silicones</t>
  </si>
  <si>
    <t xml:space="preserve">    07 02 17 - Non-Hazardous - Waste containing silicones other than those mentioned in 07 02 16</t>
  </si>
  <si>
    <t xml:space="preserve">    07 02 99 - Non-Hazardous - Wastes not otherwise specified</t>
  </si>
  <si>
    <t xml:space="preserve">  07 03 - Wastes from the MFSU of organic dyes and pigments (except 06 11)</t>
  </si>
  <si>
    <t xml:space="preserve">    07 03 01 - Hazardous - Aqueous washing liquids and mother liquors</t>
  </si>
  <si>
    <t xml:space="preserve">    07 03 03 - Hazardous - Organic halogenated solvents, washing liquids and mother liquors</t>
  </si>
  <si>
    <t xml:space="preserve">    07 03 04 - Hazardous - Other organic solvents, washing liquids and mother liquors</t>
  </si>
  <si>
    <t xml:space="preserve">    07 03 07 - Hazardous - Halogenated still bottoms and reaction residues</t>
  </si>
  <si>
    <t xml:space="preserve">    07 03 08 - Hazardous - Other still bottoms and reaction residues</t>
  </si>
  <si>
    <t xml:space="preserve">    07 03 09 - Hazardous - Halogenated filter cakes and spent absorbents</t>
  </si>
  <si>
    <t xml:space="preserve">    07 03 10 - Hazardous - Other filter cakes and spent absorbents</t>
  </si>
  <si>
    <t xml:space="preserve">    07 03 11 - Hazardous - Sludges from on-site effluent treatment containing hazardous substances</t>
  </si>
  <si>
    <t xml:space="preserve">    07 03 12 - Non-Hazardous - Sludges from on-site effluent treatment other than those mentioned in 07 03 11</t>
  </si>
  <si>
    <t xml:space="preserve">    07 03 99 - Non-Hazardous - Wastes not otherwise specified</t>
  </si>
  <si>
    <t xml:space="preserve">  07 04 - Wastes from the MFSU of organic plant protection products (except 02 01 08 and 02 01 09), wood preserving agents (except 03 02) and other biocides</t>
  </si>
  <si>
    <t xml:space="preserve">    07 04 01 - Hazardous - Aqueous washing liquids and mother liquors</t>
  </si>
  <si>
    <t xml:space="preserve">    07 04 03 - Hazardous - Organic halogenated solvents, washing liquids and mother liquors</t>
  </si>
  <si>
    <t xml:space="preserve">    07 04 04 - Hazardous - Other organic solvents, washing liquids and mother liquors</t>
  </si>
  <si>
    <t xml:space="preserve">    07 04 07 - Hazardous - Halogenated still bottoms and reaction residues</t>
  </si>
  <si>
    <t xml:space="preserve">    07 04 08 - Hazardous - Other still bottoms and reaction residues</t>
  </si>
  <si>
    <t xml:space="preserve">    07 04 09 - Hazardous - Halogenated filter cakes and spent absorbents</t>
  </si>
  <si>
    <t xml:space="preserve">    07 04 10 - Hazardous - Other filter cakes and spent absorbents</t>
  </si>
  <si>
    <t xml:space="preserve">    07 04 11 - Hazardous - Sludges from on-site effluent treatment containing hazardous substances</t>
  </si>
  <si>
    <t xml:space="preserve">    07 04 12 - Non-Hazardous - Sludges from on-site effluent treatment other than those mentioned in 07 04 11</t>
  </si>
  <si>
    <t xml:space="preserve">    07 04 13 - Hazardous - Solid wastes containing hazardous substances</t>
  </si>
  <si>
    <t xml:space="preserve">    07 04 99 - Non-Hazardous - Wastes not otherwise specified</t>
  </si>
  <si>
    <t xml:space="preserve">  07 05 - Wastes from the MFSU of pharmaceuticals</t>
  </si>
  <si>
    <t xml:space="preserve">    07 05 01 - Hazardous - Aqueous washing liquids and mother liquors</t>
  </si>
  <si>
    <t xml:space="preserve">    07 05 03 - Hazardous - Organic halogenated solvents, washing liquids and mother liquors</t>
  </si>
  <si>
    <t xml:space="preserve">    07 05 04 - Hazardous - Other organic solvents, washing liquids and mother liquors</t>
  </si>
  <si>
    <t xml:space="preserve">    07 05 07 - Hazardous - Halogenated still bottoms and reaction residues</t>
  </si>
  <si>
    <t xml:space="preserve">    07 05 08 - Hazardous - Other still bottoms and reaction residues</t>
  </si>
  <si>
    <t xml:space="preserve">    07 05 09 - Hazardous - Halogenated filter cakes and spent absorbents</t>
  </si>
  <si>
    <t xml:space="preserve">    07 05 10 - Hazardous - Other filter cakes and spent absorbents</t>
  </si>
  <si>
    <t xml:space="preserve">    07 05 11 - Hazardous - Sludges from on-site effluent treatment containing hazardous substances</t>
  </si>
  <si>
    <t xml:space="preserve">    07 05 12 - Non-Hazardous - Sludges from on-site effluent treatment other than those mentioned in 07 05 11</t>
  </si>
  <si>
    <t xml:space="preserve">    07 05 13 - Hazardous - Solid wastes containing hazardous substances</t>
  </si>
  <si>
    <t xml:space="preserve">    07 05 14 - Non-Hazardous - Solid wastes other than those mentioned in 07 05 13</t>
  </si>
  <si>
    <t xml:space="preserve">    07 05 99 - Non-Hazardous - Wastes not otherwise specified</t>
  </si>
  <si>
    <t xml:space="preserve">  07 06 - Wastes from the MFSU of fats, grease, soaps, detergents, disinfectants and cosmetics</t>
  </si>
  <si>
    <t xml:space="preserve">    07 06 01 - Hazardous - Aqueous washing liquids and mother liquors</t>
  </si>
  <si>
    <t xml:space="preserve">    07 06 03 - Hazardous - Organic halogenated solvents, washing liquids and mother liquors</t>
  </si>
  <si>
    <t xml:space="preserve">    07 06 04 - Hazardous - Other organic solvents, washing liquids and mother liquors</t>
  </si>
  <si>
    <t xml:space="preserve">    07 06 07 - Hazardous - Halogenated still bottoms and reaction residues</t>
  </si>
  <si>
    <t xml:space="preserve">    07 06 08 - Hazardous - Other still bottoms and reaction residues</t>
  </si>
  <si>
    <t xml:space="preserve">    07 06 09 - Hazardous - Halogenated filter cakes and spent absorbents</t>
  </si>
  <si>
    <t xml:space="preserve">    07 06 10 - Hazardous - Other filter cakes and spent absorbents</t>
  </si>
  <si>
    <t xml:space="preserve">    07 06 11 - Hazardous - Sludges from on-site effluent treatment containing hazardous substances</t>
  </si>
  <si>
    <t xml:space="preserve">    07 06 12 - Non-Hazardous - Sludges from on-site effluent treatment other than those mentioned in 07 06 11</t>
  </si>
  <si>
    <t xml:space="preserve">    07 06 99 - Non-Hazardous - Wastes not otherwise specified</t>
  </si>
  <si>
    <t xml:space="preserve">  07 07 - Wastes from the MFSU of fine chemicals and chemical products not otherwise specified</t>
  </si>
  <si>
    <t xml:space="preserve">    07 07 01 - Hazardous - Aqueous washing liquids and mother liquors</t>
  </si>
  <si>
    <t xml:space="preserve">    07 07 03 - Hazardous - Organic halogenated solvents, washing liquids and mother liquors</t>
  </si>
  <si>
    <t xml:space="preserve">    07 07 04 - Hazardous - Other organic solvents, washing liquids and mother liquors</t>
  </si>
  <si>
    <t xml:space="preserve">    07 07 07 - Hazardous - Halogenated still bottoms and reaction residues</t>
  </si>
  <si>
    <t xml:space="preserve">    07 07 08 - Hazardous - Other still bottoms and reaction residues</t>
  </si>
  <si>
    <t xml:space="preserve">    07 07 09 - Hazardous - Halogenated filter cakes and spent absorbents</t>
  </si>
  <si>
    <t xml:space="preserve">    07 07 10 - Hazardous - Other filter cakes and spent absorbents</t>
  </si>
  <si>
    <t xml:space="preserve">    07 07 11 - Hazardous - Sludges from on-site effluent treatment containing hazardous substances</t>
  </si>
  <si>
    <t xml:space="preserve">    07 07 12 - Non-Hazardous - Sludges from on-site effluent treatment other than those mentioned in 07 07 11</t>
  </si>
  <si>
    <t xml:space="preserve">    07 07 99 - Non-Hazardous - Wastes not otherwise specified</t>
  </si>
  <si>
    <t xml:space="preserve">  08 01 - Wastes from MFSU and removal of paint and varnish</t>
  </si>
  <si>
    <t xml:space="preserve">    08 01 11 - Hazardous - Waste paint and varnish containing organic solvents or other hazardous substances</t>
  </si>
  <si>
    <t xml:space="preserve">    08 01 12 - Non-Hazardous - Waste paint and varnish other than those mentioned in 08 01 11</t>
  </si>
  <si>
    <t xml:space="preserve">    08 01 13 - Hazardous - Sludges from paint or varnish containing organic solvents or other hazardous substances</t>
  </si>
  <si>
    <t xml:space="preserve">    08 01 14 - Non-Hazardous - Sludges from paint or varnish other than those mentioned in 08 01 13</t>
  </si>
  <si>
    <t xml:space="preserve">    08 01 15 - Hazardous - Aqueous sludges containing paint or varnish containing organic solvents or other hazardous substances</t>
  </si>
  <si>
    <t xml:space="preserve">    08 01 16 - Non-Hazardous - Aqueous sludges containing paint or varnish other than those mentioned in 08 01 15</t>
  </si>
  <si>
    <t xml:space="preserve">    08 01 17 - Hazardous - Wastes from paint or varnish removal containing organic solvents or other hazardous substances</t>
  </si>
  <si>
    <t xml:space="preserve">    08 01 18 - Non-Hazardous - Wastes from paint or varnish removal other than those mentioned in 08 01 17</t>
  </si>
  <si>
    <t xml:space="preserve">    08 01 19 - Hazardous - Aqueous suspensions containing paint or varnish containing organic solvents or other hazardous substances</t>
  </si>
  <si>
    <t xml:space="preserve">    08 01 20 - Non-Hazardous - Aqueous suspensions containing paint or varnish other than those mentioned in 08 01 19</t>
  </si>
  <si>
    <t xml:space="preserve">    08 01 21 - Hazardous - Waste paint or varnish remover</t>
  </si>
  <si>
    <t xml:space="preserve">    08 01 99 - Non-Hazardous - Wastes not otherwise specified</t>
  </si>
  <si>
    <t xml:space="preserve">  08 02 - Wastes from MFSU of other coatings (including ceramic materials)</t>
  </si>
  <si>
    <t xml:space="preserve">    08 02 01 - Non-Hazardous - Waste coating powders</t>
  </si>
  <si>
    <t xml:space="preserve">    08 02 02 - Non-Hazardous - Aqueous sludges containing ceramic materials</t>
  </si>
  <si>
    <t xml:space="preserve">    08 02 03 - Non-Hazardous - Aqueous suspensions containing ceramic materials</t>
  </si>
  <si>
    <t xml:space="preserve">    08 02 99 - Non-Hazardous - Wastes not otherwise specified</t>
  </si>
  <si>
    <t xml:space="preserve">  08 03 - Wastes from MFSU of printing inks</t>
  </si>
  <si>
    <t xml:space="preserve">    08 03 07 - Non-Hazardous - Aqueous sludges containing ink</t>
  </si>
  <si>
    <t xml:space="preserve">    08 03 08 - Non-Hazardous - Aqueous liquid waste containing ink</t>
  </si>
  <si>
    <t xml:space="preserve">    08 03 12 - Hazardous - Waste ink containing hazardous substances</t>
  </si>
  <si>
    <t xml:space="preserve">    08 03 13 - Non-Hazardous - Waste ink other than those mentioned in 08 03 12</t>
  </si>
  <si>
    <t xml:space="preserve">    08 03 14 - Hazardous - Ink sludges containing hazardous substances</t>
  </si>
  <si>
    <t xml:space="preserve">    08 03 15 - Non-Hazardous - Ink sludges other than those mentioned in 08 03 14</t>
  </si>
  <si>
    <t xml:space="preserve">    08 03 16 - Hazardous - Waste etching solutions</t>
  </si>
  <si>
    <t xml:space="preserve">    08 03 17 - Hazardous - Waste printing toner containing hazardous substances</t>
  </si>
  <si>
    <t xml:space="preserve">    08 03 18 - Non-Hazardous - Waste printing toner other than those mentioned in 08 03 17</t>
  </si>
  <si>
    <t xml:space="preserve">    08 03 19 - Hazardous - Disperse oil</t>
  </si>
  <si>
    <t xml:space="preserve">    08 03 99 - Non-Hazardous - Wastes not otherwise specified</t>
  </si>
  <si>
    <t xml:space="preserve">  08 04 - Wastes from MFSU of adhesives and sealants (including waterproofing products)</t>
  </si>
  <si>
    <t xml:space="preserve">    08 04 09 - Hazardous - Waste adhesives and sealants containing organic solvents or other hazardous substances</t>
  </si>
  <si>
    <t xml:space="preserve">    08 04 10 - Non-Hazardous - Waste adhesives and sealants other than those mentioned in 08 04 09</t>
  </si>
  <si>
    <t xml:space="preserve">    08 04 11 - Hazardous - Adhesive and sealant sludges containing organic solvents or other hazardous substances</t>
  </si>
  <si>
    <t xml:space="preserve">    08 04 12 - Non-Hazardous - Adhesive and sealant sludges other than those mentioned in 08 04 11</t>
  </si>
  <si>
    <t xml:space="preserve">    08 04 13 - Hazardous - Aqueous sludges containing adhesives or sealants containing organic solvents or other hazardous substances</t>
  </si>
  <si>
    <t xml:space="preserve">    08 04 14 - Non-Hazardous - Aqueous sludges containing adhesives or sealants other than those mentioned in 08 04 13</t>
  </si>
  <si>
    <t xml:space="preserve">    08 04 15 - Hazardous - Aqueous liquid waste containing adhesives or sealants containing organic solvents or other hazardous substances</t>
  </si>
  <si>
    <t xml:space="preserve">    08 04 16 - Non-Hazardous - Aqueous liquid waste containing adhesives or sealants other than those mentioned in 08 04 15</t>
  </si>
  <si>
    <t xml:space="preserve">    08 04 17 - Hazardous - Rosin oil</t>
  </si>
  <si>
    <t xml:space="preserve">    08 04 99 - Non-Hazardous - Wastes not otherwise specified</t>
  </si>
  <si>
    <t xml:space="preserve">  08 05 - Wastes not otherwise specified in 08</t>
  </si>
  <si>
    <t xml:space="preserve">    08 05 01 - Hazardous - Waste isocyanates</t>
  </si>
  <si>
    <t xml:space="preserve">  09 01 - Wastes from the photographic industry</t>
  </si>
  <si>
    <t xml:space="preserve">    09 01 01 - Hazardous - Water-based developer and activator solutions</t>
  </si>
  <si>
    <t xml:space="preserve">    09 01 02 - Hazardous - Water-based offset plate developer solutions</t>
  </si>
  <si>
    <t xml:space="preserve">    09 01 03 - Hazardous - Solvent-based developer solutions</t>
  </si>
  <si>
    <t xml:space="preserve">    09 01 04 - Hazardous - Fixer solutions</t>
  </si>
  <si>
    <t xml:space="preserve">    09 01 05 - Hazardous - Bleach solutions and bleach fixer solutions</t>
  </si>
  <si>
    <t xml:space="preserve">    09 01 06 - Hazardous - Wastes containing silver from on-site treatment of photographic wastes</t>
  </si>
  <si>
    <t xml:space="preserve">    09 01 07 - Non-Hazardous - Photographic film and paper containing silver or silver compounds</t>
  </si>
  <si>
    <t xml:space="preserve">    09 01 08 - Non-Hazardous - Photographic film and paper free of silver or silver compounds</t>
  </si>
  <si>
    <t xml:space="preserve">    09 01 10 - Non-Hazardous - Single-use cameras without batteries</t>
  </si>
  <si>
    <t xml:space="preserve">    09 01 11 - Hazardous - Single-use cameras containing batteries included in 16 06 01, 16 06 02 or 16 06 03</t>
  </si>
  <si>
    <t xml:space="preserve">    09 01 12 - Non-Hazardous - Single-use cameras containing batteries other than those mentioned in 09 01 11</t>
  </si>
  <si>
    <t xml:space="preserve">    09 01 13 - Hazardous - Aqueous liquid waste from on-site reclamation of silver other than those mentioned in 09 01 06</t>
  </si>
  <si>
    <t xml:space="preserve">    09 01 99 - Non-Hazardous - Wastes not otherwise specified</t>
  </si>
  <si>
    <t xml:space="preserve">  10 01 - Wastes from power stations and other combustion plants (except 19)</t>
  </si>
  <si>
    <t xml:space="preserve">    10 01 01 - Non-Hazardous - Bottom ash, slag and boiler dust (excluding boiler dust mentioned in 10 01 04)</t>
  </si>
  <si>
    <t xml:space="preserve">    10 01 02 - Non-Hazardous - Coal fly ash</t>
  </si>
  <si>
    <t xml:space="preserve">    10 01 03 - Non-Hazardous - Fly ash from peat and untreated wood</t>
  </si>
  <si>
    <t xml:space="preserve">    10 01 04 - Hazardous - Oil fly ash and boiler dust</t>
  </si>
  <si>
    <t xml:space="preserve">    10 01 05 - Non-Hazardous - Calcium-based reaction wastes from flue-gas desulphurisation in solid form</t>
  </si>
  <si>
    <t xml:space="preserve">    10 01 07 - Non-Hazardous - Calcium-based reaction wastes from flue-gas desulphurisation in sludge form</t>
  </si>
  <si>
    <t xml:space="preserve">    10 01 09 - Hazardous - Sulphuric acid</t>
  </si>
  <si>
    <t xml:space="preserve">    10 01 13 - Hazardous - Fly ash from emulsified hydrocarbons used as fuel</t>
  </si>
  <si>
    <t xml:space="preserve">    10 01 14 - Hazardous - Bottom ash, slag and boiler dust from co-incineration containing hazardous substances</t>
  </si>
  <si>
    <t xml:space="preserve">    10 01 15 - Non-Hazardous - Bottom ash, slag and boiler dust from co-incineration other than those mentioned in 10 01 14</t>
  </si>
  <si>
    <t xml:space="preserve">    10 01 16 - Hazardous - Fly ash from co-incineration containing hazardous substances</t>
  </si>
  <si>
    <t xml:space="preserve">    10 01 17 - Non-Hazardous - Fly ash from co-incineration other than those mentioned in 10 01 16</t>
  </si>
  <si>
    <t xml:space="preserve">    10 01 18 - Hazardous - Wastes from gas cleaning containing hazardous substances</t>
  </si>
  <si>
    <t xml:space="preserve">    10 01 19 - Non-Hazardous - Wastes from gas cleaning other than those mentioned in 10 01 05, 10 01 07 and 10 01 18</t>
  </si>
  <si>
    <t xml:space="preserve">    10 01 20 - Hazardous - Sludges from on-site effluent treatment containing hazardous substances</t>
  </si>
  <si>
    <t xml:space="preserve">    10 01 21 - Non-Hazardous - Sludges from on-site effluent treatment other than those mentioned in 10 01 20</t>
  </si>
  <si>
    <t xml:space="preserve">    10 01 22 - Hazardous - Aqueous sludges from boiler cleansing containing hazardous substances</t>
  </si>
  <si>
    <t xml:space="preserve">    10 01 23 - Non-Hazardous - Aqueous sludges from boiler cleansing other than those mentioned in 10 01 22</t>
  </si>
  <si>
    <t xml:space="preserve">    10 01 24 - Non-Hazardous - Sands from fluidised beds</t>
  </si>
  <si>
    <t xml:space="preserve">    10 01 25 - Non-Hazardous - Wastes from fuel storage and preparation of coal-fired power plants</t>
  </si>
  <si>
    <t xml:space="preserve">    10 01 26 - Non-Hazardous - Wastes from cooling-water treatment</t>
  </si>
  <si>
    <t xml:space="preserve">    10 01 99 - Non-Hazardous - Wastes not otherwise specified</t>
  </si>
  <si>
    <t xml:space="preserve">  10 02 - Wastes from the iron and steel industry</t>
  </si>
  <si>
    <t xml:space="preserve">    10 02 01 - Non-Hazardous - Wastes from the processing of slag</t>
  </si>
  <si>
    <t xml:space="preserve">    10 02 02 - Non-Hazardous - Unprocessed slag</t>
  </si>
  <si>
    <t xml:space="preserve">    10 02 07 - Hazardous - Solid wastes from gas treatment containing hazardous substances</t>
  </si>
  <si>
    <t xml:space="preserve">    10 02 08 - Non-Hazardous - Solid wastes from gas treatment other than those mentioned in 10 02 07</t>
  </si>
  <si>
    <t xml:space="preserve">    10 02 10 - Non-Hazardous - Mill scales</t>
  </si>
  <si>
    <t xml:space="preserve">    10 02 11 - Hazardous - Wastes from cooling-water treatment containing oil</t>
  </si>
  <si>
    <t xml:space="preserve">    10 02 12 - Non-Hazardous - Wastes from cooling-water treatment other than those mentioned in 10 02 11</t>
  </si>
  <si>
    <t xml:space="preserve">    10 02 13 - Hazardous - Sludges and filter cakes from gas treatment containing hazardous substances</t>
  </si>
  <si>
    <t xml:space="preserve">    10 02 14 - Non-Hazardous - Sludges and filter cakes from gas treatment other than those mentioned in 10 02 13</t>
  </si>
  <si>
    <t xml:space="preserve">    10 02 15 - Non-Hazardous - Other sludges and filter cakes</t>
  </si>
  <si>
    <t xml:space="preserve">    10 02 99 - Non-Hazardous - Wastes not otherwise specified</t>
  </si>
  <si>
    <t xml:space="preserve">  10 03 - Wastes from aluminium thermal metallurgy</t>
  </si>
  <si>
    <t xml:space="preserve">    10 03 02 - Non-Hazardous - Anode scraps</t>
  </si>
  <si>
    <t xml:space="preserve">    10 03 04 - Hazardous - Primary production slags</t>
  </si>
  <si>
    <t xml:space="preserve">    10 03 05 - Non-Hazardous - Waste alumina</t>
  </si>
  <si>
    <t xml:space="preserve">    10 03 08 - Hazardous - Salt slags from secondary production</t>
  </si>
  <si>
    <t xml:space="preserve">    10 03 09 - Hazardous - Black drosses from secondary production</t>
  </si>
  <si>
    <t xml:space="preserve">    10 03 15 - Hazardous - Skimmings that are flammable or emit, upon contact with water, flammable gases in hazardous quantities</t>
  </si>
  <si>
    <t xml:space="preserve">    10 03 16 - Non-Hazardous - Skimmings other than those mentioned in 10 03 15</t>
  </si>
  <si>
    <t xml:space="preserve">    10 03 17 - Hazardous - Tar-containing wastes from anode manufacture</t>
  </si>
  <si>
    <t xml:space="preserve">    10 03 18 - Non-Hazardous - Carbon-containing wastes from anode manufacture other than those mentioned in 10 03 17</t>
  </si>
  <si>
    <t xml:space="preserve">    10 03 19 - Hazardous - Flue-gas dust containing hazardous substances</t>
  </si>
  <si>
    <t xml:space="preserve">    10 03 20 - Non-Hazardous - Flue-gas dust other than those mentioned in 10 03 19</t>
  </si>
  <si>
    <t xml:space="preserve">    10 03 21 - Hazardous - Other particulates and dust (including ball-mill dust) containing hazardous substances</t>
  </si>
  <si>
    <t xml:space="preserve">    10 03 22 - Non-Hazardous - Other particulates and dust (including ball-mill dust) other than those mentioned in 10 03 21</t>
  </si>
  <si>
    <t xml:space="preserve">    10 03 23 - Hazardous - Solid wastes from gas treatment containing hazardous substances</t>
  </si>
  <si>
    <t xml:space="preserve">    10 03 24 - Non-Hazardous - Solid wastes from gas treatment other than those mentioned in 10 03 23</t>
  </si>
  <si>
    <t xml:space="preserve">    10 03 25 - Hazardous - Sludges and filter cakes from gas treatment containing hazardous substances</t>
  </si>
  <si>
    <t xml:space="preserve">    10 03 26 - Non-Hazardous - Sludges and filter cakes from gas treatment other than those mentioned in 10 03 25</t>
  </si>
  <si>
    <t xml:space="preserve">    10 03 27 - Hazardous - Wastes from cooling-water treatment containing oil</t>
  </si>
  <si>
    <t xml:space="preserve">    10 03 28 - Non-Hazardous - Wastes from cooling-water treatment other than those mentioned in 10 03 27</t>
  </si>
  <si>
    <t xml:space="preserve">    10 03 29 - Hazardous - Wastes from treatment of salt slags and black drosses containing hazardous substances</t>
  </si>
  <si>
    <t xml:space="preserve">    10 03 30 - Non-Hazardous - Wastes from treatment of salt slags and black drosses other than those mentioned in 10 03 29</t>
  </si>
  <si>
    <t xml:space="preserve">    10 03 99 - Non-Hazardous - Wastes not otherwise specified</t>
  </si>
  <si>
    <t xml:space="preserve">  10 04 - Wastes from lead thermal metallurgy</t>
  </si>
  <si>
    <t xml:space="preserve">    10 04 01 - Hazardous - Slags from primary and secondary production</t>
  </si>
  <si>
    <t xml:space="preserve">    10 04 02 - Hazardous - Dross and skimmings from primary and secondary production</t>
  </si>
  <si>
    <t xml:space="preserve">    10 04 03 - Hazardous - Calcium arsenate</t>
  </si>
  <si>
    <t xml:space="preserve">    10 04 04 - Hazardous - Flue-gas dust</t>
  </si>
  <si>
    <t xml:space="preserve">    10 04 05 - Hazardous - Other particulates and dust</t>
  </si>
  <si>
    <t xml:space="preserve">    10 04 06 - Hazardous - Solid wastes from gas treatment</t>
  </si>
  <si>
    <t xml:space="preserve">    10 04 07 - Hazardous - Sludges and filter cakes from gas treatment</t>
  </si>
  <si>
    <t xml:space="preserve">    10 04 09 - Hazardous - Wastes from cooling-water treatment containing oil</t>
  </si>
  <si>
    <t xml:space="preserve">    10 04 10 - Non-Hazardous - Wastes from cooling-water treatment other than those mentioned in 10 04 09</t>
  </si>
  <si>
    <t xml:space="preserve">    10 04 99 - Non-Hazardous - Wastes not otherwise specified</t>
  </si>
  <si>
    <t xml:space="preserve">  10 05 - Wastes from zinc thermal metallurgy</t>
  </si>
  <si>
    <t xml:space="preserve">    10 05 01 - Non-Hazardous - Slags from primary and secondary production</t>
  </si>
  <si>
    <t xml:space="preserve">    10 05 03 - Hazardous - Flue-gas dust</t>
  </si>
  <si>
    <t xml:space="preserve">    10 05 04 - Non-Hazardous - Other particulates and dust</t>
  </si>
  <si>
    <t xml:space="preserve">    10 05 05 - Hazardous - Solid waste from gas treatment</t>
  </si>
  <si>
    <t xml:space="preserve">    10 05 06 - Hazardous - Sludges and filter cakes from gas treatment</t>
  </si>
  <si>
    <t xml:space="preserve">    10 05 08 - Hazardous - Wastes from cooling-water treatment containing oil</t>
  </si>
  <si>
    <t xml:space="preserve">    10 05 09 - Non-Hazardous - Wastes from cooling-water treatment other than those mentioned in 10 05 08</t>
  </si>
  <si>
    <t xml:space="preserve">    10 05 10 - Hazardous - Dross and skimmings that are flammable or emit, upon contact with water, flammable gases in hazardous quantities</t>
  </si>
  <si>
    <t xml:space="preserve">    10 05 11 - Non-Hazardous - Dross and skimmings other than those mentioned in 10 05 10</t>
  </si>
  <si>
    <t xml:space="preserve">    10 05 99 - Non-Hazardous - Wastes not otherwise specified</t>
  </si>
  <si>
    <t xml:space="preserve">  10 06 - Wastes from copper thermal metallurgy</t>
  </si>
  <si>
    <t xml:space="preserve">    10 06 01 - Non-Hazardous - Slags from primary and secondary production</t>
  </si>
  <si>
    <t xml:space="preserve">    10 06 02 - Non-Hazardous - Dross and skimmings from primary and secondary production</t>
  </si>
  <si>
    <t xml:space="preserve">    10 06 03 - Hazardous - Flue-gas dust</t>
  </si>
  <si>
    <t xml:space="preserve">    10 06 04 - Non-Hazardous - Other particulates and dust</t>
  </si>
  <si>
    <t xml:space="preserve">    10 06 06 - Hazardous - Solid wastes from gas treatment</t>
  </si>
  <si>
    <t xml:space="preserve">    10 06 07 - Hazardous - Sludges and filter cakes from gas treatment</t>
  </si>
  <si>
    <t xml:space="preserve">    10 06 09 - Hazardous - Wastes from cooling-water treatment containing oil</t>
  </si>
  <si>
    <t xml:space="preserve">    10 06 10 - Non-Hazardous - Wastes from cooling-water treatment other than those mentioned in 10 06 09</t>
  </si>
  <si>
    <t xml:space="preserve">    10 06 99 - Non-Hazardous - Wastes not otherwise specified</t>
  </si>
  <si>
    <t xml:space="preserve">  10 07 - Wastes from silver, gold and platinum thermal metallurgy</t>
  </si>
  <si>
    <t xml:space="preserve">    10 07 01 - Non-Hazardous - Slags from primary and secondary production</t>
  </si>
  <si>
    <t xml:space="preserve">    10 07 02 - Non-Hazardous - Dross and skimmings from primary and secondary production</t>
  </si>
  <si>
    <t xml:space="preserve">    10 07 03 - Non-Hazardous - Solid wastes from gas treatment</t>
  </si>
  <si>
    <t xml:space="preserve">    10 07 04 - Non-Hazardous - Other particulates and dust</t>
  </si>
  <si>
    <t xml:space="preserve">    10 07 05 - Non-Hazardous - Sludges and filter cakes from gas treatment</t>
  </si>
  <si>
    <t xml:space="preserve">    10 07 07 - Hazardous - Wastes from cooling-water treatment containing oil</t>
  </si>
  <si>
    <t xml:space="preserve">    10 07 08 - Non-Hazardous - Wastes from cooling-water treatment other than those mentioned in 10 07 07</t>
  </si>
  <si>
    <t xml:space="preserve">    10 07 99 - Non-Hazardous - Wastes not otherwise specified</t>
  </si>
  <si>
    <t xml:space="preserve">  10 08 - Wastes from other non-ferrous thermal metallurgy</t>
  </si>
  <si>
    <t xml:space="preserve">    10 08 04 - Non-Hazardous - Particulates and dust</t>
  </si>
  <si>
    <t xml:space="preserve">    10 08 08 - Hazardous - Salt slag from primary and secondary production</t>
  </si>
  <si>
    <t xml:space="preserve">    10 08 09 - Non-Hazardous - Other slags</t>
  </si>
  <si>
    <t xml:space="preserve">    10 08 10 - Hazardous - Dross and skimmings that are flammable or emit, upon contact with water, flammable gases in hazardous quantities</t>
  </si>
  <si>
    <t xml:space="preserve">    10 08 11 - Non-Hazardous - Dross and skimmings other than those mentioned in 10 08 10</t>
  </si>
  <si>
    <t xml:space="preserve">    10 08 12 - Hazardous - Tar-containing wastes from anode manufacture</t>
  </si>
  <si>
    <t xml:space="preserve">    10 08 13 - Non-Hazardous - Carbon-containing wastes from anode manufacture other than those mentioned in 10 08 12</t>
  </si>
  <si>
    <t xml:space="preserve">    10 08 14 - Non-Hazardous - Anode scrap</t>
  </si>
  <si>
    <t xml:space="preserve">    10 08 15 - Hazardous - Flue-gas dust containing hazardous substances</t>
  </si>
  <si>
    <t xml:space="preserve">    10 08 16 - Non-Hazardous - Flue-gas dust other than those mentioned in 10 08 15</t>
  </si>
  <si>
    <t xml:space="preserve">    10 08 17 - Hazardous - Sludges and filter cakes from flue-gas treatment containing hazardous substances</t>
  </si>
  <si>
    <t xml:space="preserve">    10 08 18 - Non-Hazardous - Sludges and filter cakes from flue-gas treatment other than those mentioned in 10 08 17</t>
  </si>
  <si>
    <t xml:space="preserve">    10 08 19 - Hazardous - Wastes from cooling-water treatment containing oil</t>
  </si>
  <si>
    <t xml:space="preserve">    10 08 20 - Non-Hazardous - Wastes from cooling-water treatment other than those mentioned in 10 08 19</t>
  </si>
  <si>
    <t xml:space="preserve">    10 08 99 - Non-Hazardous - Wastes not otherwise specified</t>
  </si>
  <si>
    <t xml:space="preserve">  10 09 - Wastes from casting of ferrous pieces</t>
  </si>
  <si>
    <t xml:space="preserve">    10 09 03 - Non-Hazardous - Furnace slag</t>
  </si>
  <si>
    <t xml:space="preserve">    10 09 05 - Hazardous - Casting cores and moulds which have not undergone pouring containing hazardous substances</t>
  </si>
  <si>
    <t xml:space="preserve">    10 09 06 - Non-Hazardous - Casting cores and moulds which have not undergone pouring other than those mentioned in 10 09 05</t>
  </si>
  <si>
    <t xml:space="preserve">    10 09 07 - Hazardous - Casting cores and moulds which have undergone pouring containing hazardous substances</t>
  </si>
  <si>
    <t xml:space="preserve">    10 09 08 - Non-Hazardous - Casting cores and moulds which have undergone pouring other than those mentioned in 10 09 07</t>
  </si>
  <si>
    <t xml:space="preserve">    10 09 09 - Hazardous - Flue-gas dust containing hazardous substances</t>
  </si>
  <si>
    <t xml:space="preserve">    10 09 10 - Non-Hazardous - Flue-gas dust other than those mentioned in 10 09 09</t>
  </si>
  <si>
    <t xml:space="preserve">    10 09 11 - Hazardous - Other particulates containing hazardous substances</t>
  </si>
  <si>
    <t xml:space="preserve">    10 09 12 - Non-Hazardous - Other particulates other than those mentioned in 10 09 11</t>
  </si>
  <si>
    <t xml:space="preserve">    10 09 13 - Hazardous - Waste binders containing hazardous substances</t>
  </si>
  <si>
    <t xml:space="preserve">    10 09 14 - Non-Hazardous - Waste binders other than those mentioned in 10 09 13</t>
  </si>
  <si>
    <t xml:space="preserve">    10 09 15 - Hazardous - Waste crack-indicating agent containing hazardous substances</t>
  </si>
  <si>
    <t xml:space="preserve">    10 09 16 - Non-Hazardous - Waste crack-indicating agent other than those mentioned in 10 09 15</t>
  </si>
  <si>
    <t xml:space="preserve">    10 09 99 - Non-Hazardous - Wastes not otherwise specified</t>
  </si>
  <si>
    <t xml:space="preserve">  10 10 - Wastes from casting of non-ferrous pieces</t>
  </si>
  <si>
    <t xml:space="preserve">    10 10 03 - Non-Hazardous - Furnace slag</t>
  </si>
  <si>
    <t xml:space="preserve">    10 10 05 - Hazardous - Casting cores and moulds which have not undergone pouring, containing hazardous substances</t>
  </si>
  <si>
    <t xml:space="preserve">    10 10 06 - Non-Hazardous - Casting cores and moulds which have not undergone pouring, other than those mentioned in 10 10 05</t>
  </si>
  <si>
    <t xml:space="preserve">    10 10 07 - Hazardous - Casting cores and moulds which have undergone pouring, containing hazardous substances</t>
  </si>
  <si>
    <t xml:space="preserve">    10 10 08 - Non-Hazardous - Casting cores and moulds which have undergone pouring, other than those mentioned in 10 10 07</t>
  </si>
  <si>
    <t xml:space="preserve">    10 10 09 - Hazardous - Flue-gas dust containing hazardous substances</t>
  </si>
  <si>
    <t xml:space="preserve">    10 10 10 - Non-Hazardous - Flue-gas dust other than those mentioned in 10 10 09</t>
  </si>
  <si>
    <t xml:space="preserve">    10 10 11 - Hazardous - Other particulates containing hazardous substances</t>
  </si>
  <si>
    <t xml:space="preserve">    10 10 12 - Non-Hazardous - Other particulates other than those mentioned in 10 10 11</t>
  </si>
  <si>
    <t xml:space="preserve">    10 10 13 - Hazardous - Waste binders containing hazardous substances</t>
  </si>
  <si>
    <t xml:space="preserve">    10 10 14 - Non-Hazardous - Waste binders other than those mentioned in 10 10 13</t>
  </si>
  <si>
    <t xml:space="preserve">    10 10 15 - Hazardous - Waste crack-indicating agent containing hazardous substances</t>
  </si>
  <si>
    <t xml:space="preserve">    10 10 16 - Non-Hazardous - Waste crack-indicating agent other than those mentioned in 10 10 15</t>
  </si>
  <si>
    <t xml:space="preserve">    10 10 99 - Non-Hazardous - Wastes not otherwise specified</t>
  </si>
  <si>
    <t xml:space="preserve">  10 11 - Wastes from manufacture of glass and glass products</t>
  </si>
  <si>
    <t xml:space="preserve">    10 11 03 - Non-Hazardous - Waste glass-based fibrous materials</t>
  </si>
  <si>
    <t xml:space="preserve">    10 11 05 - Non-Hazardous - Particulates and dust</t>
  </si>
  <si>
    <t xml:space="preserve">    10 11 09 - Hazardous - Waste preparation mixture before thermal processing, containing hazardous substances</t>
  </si>
  <si>
    <t xml:space="preserve">    10 11 10 - Non-Hazardous - Waste preparation mixture before thermal processing, other than those mentioned in 10 11 09</t>
  </si>
  <si>
    <t xml:space="preserve">    10 11 11 - Hazardous - Waste glass in small particles and glass powder containing heavy metals (for example from cathode ray tubes)</t>
  </si>
  <si>
    <t xml:space="preserve">    10 11 12 - Non-Hazardous - Waste glass other than those mentioned in 10 11 11</t>
  </si>
  <si>
    <t xml:space="preserve">    10 11 13 - Hazardous - Glass-polishing and -grinding sludge containing hazardous substances</t>
  </si>
  <si>
    <t xml:space="preserve">    10 11 14 - Non-Hazardous - Glass-polishing and -grinding sludge other than those mentioned in 10 11 13</t>
  </si>
  <si>
    <t xml:space="preserve">    10 11 15 - Hazardous - Solid wastes from flue-gas treatment containing hazardous substances</t>
  </si>
  <si>
    <t xml:space="preserve">    10 11 16 - Non-Hazardous - Solid wastes from flue-gas treatment other than those mentioned in 10 11 15</t>
  </si>
  <si>
    <t xml:space="preserve">    10 11 17 - Hazardous - Sludges and filter cakes from flue-gas treatment containing hazardous substances</t>
  </si>
  <si>
    <t xml:space="preserve">    10 11 18 - Non-Hazardous - Sludges and filter cakes from flue-gas treatment other than those mentioned in 10 11 17</t>
  </si>
  <si>
    <t xml:space="preserve">    10 11 19 - Hazardous - Solid wastes from on-site effluent treatment containing hazardous substances</t>
  </si>
  <si>
    <t xml:space="preserve">    10 11 20 - Non-Hazardous - Solid wastes from on-site effluent treatment other than those mentioned in 10 11 19</t>
  </si>
  <si>
    <t xml:space="preserve">    10 11 99 - Non-Hazardous - Wastes not otherwise specified</t>
  </si>
  <si>
    <t xml:space="preserve">  10 12 - Wastes from manufacture of ceramic goods, bricks, tiles and construction products</t>
  </si>
  <si>
    <t xml:space="preserve">    10 12 01 - Non-Hazardous - Waste preparation mixture before thermal processing</t>
  </si>
  <si>
    <t xml:space="preserve">    10 12 03 - Non-Hazardous - Particulates and dust</t>
  </si>
  <si>
    <t xml:space="preserve">    10 12 05 - Non-Hazardous - Sludges and filter cakes from gas treatment</t>
  </si>
  <si>
    <t xml:space="preserve">    10 12 06 - Non-Hazardous - Discarded moulds</t>
  </si>
  <si>
    <t xml:space="preserve">    10 12 08 - Non-Hazardous - Waste ceramics, bricks, tiles and construction products (after thermal processing)</t>
  </si>
  <si>
    <t xml:space="preserve">    10 12 09 - Hazardous - Solid wastes from gas treatment containing hazardous substances</t>
  </si>
  <si>
    <t xml:space="preserve">    10 12 10 - Non-Hazardous - Solid wastes from gas treatment other than those mentioned in 10 12 09</t>
  </si>
  <si>
    <t xml:space="preserve">    10 12 11 - Hazardous - Wastes from glazing containing heavy metals</t>
  </si>
  <si>
    <t xml:space="preserve">    10 12 12 - Non-Hazardous - Wastes from glazing other than those mentioned in 10 12 11</t>
  </si>
  <si>
    <t xml:space="preserve">    10 12 13 - Non-Hazardous - Sludge from on-site effluent treatment</t>
  </si>
  <si>
    <t xml:space="preserve">    10 12 99 - Non-Hazardous - Wastes not otherwise specified</t>
  </si>
  <si>
    <t xml:space="preserve">  10 13 - Wastes from manufacture of cement, lime and plaster and articles and products made from them</t>
  </si>
  <si>
    <t xml:space="preserve">    10 13 01 - Non-Hazardous - Waste preparation mixture before thermal processing</t>
  </si>
  <si>
    <t xml:space="preserve">    10 13 04 - Non-Hazardous - Wastes from calcination and hydration of lime</t>
  </si>
  <si>
    <t xml:space="preserve">    10 13 06 - Non-Hazardous - Particulates and dust (except 10 13 12 and 10 13 13)</t>
  </si>
  <si>
    <t xml:space="preserve">    10 13 07 - Non-Hazardous - Sludges and filter cakes from gas treatment</t>
  </si>
  <si>
    <t xml:space="preserve">    10 13 09 - Hazardous - Wastes from asbestos-cement manufacture containing asbestos</t>
  </si>
  <si>
    <t xml:space="preserve">    10 13 10 - Non-Hazardous - Wastes from asbestos-cement manufacture other than those mentioned in 10 13 09</t>
  </si>
  <si>
    <t xml:space="preserve">    10 13 11 - Non-Hazardous - Wastes from cement-based composite materials other than those mentioned in 10 13 09 and 10 13 10</t>
  </si>
  <si>
    <t xml:space="preserve">    10 13 12 - Hazardous - Solid wastes from gas treatment containing hazardous substances</t>
  </si>
  <si>
    <t xml:space="preserve">    10 13 13 - Non-Hazardous - Solid wastes from gas treatment other than those mentioned in 10 13 12</t>
  </si>
  <si>
    <t xml:space="preserve">    10 13 14 - Non-Hazardous - Waste concrete and concrete sludge</t>
  </si>
  <si>
    <t xml:space="preserve">    10 13 99 - Non-Hazardous - Wastes not otherwise specified</t>
  </si>
  <si>
    <t xml:space="preserve">  10 14 - Waste from crematoria</t>
  </si>
  <si>
    <t xml:space="preserve">    10 14 01 - Hazardous - Waste from gas cleaning containing mercury</t>
  </si>
  <si>
    <t xml:space="preserve">  11 01 - Wastes from chemical surface treatment and coating of metals and other materials (for example galvanic processes, zinc coating processes, pickling processes, etching, phosphating, alkaline degreasing, anodising)</t>
  </si>
  <si>
    <t xml:space="preserve">    11 01 05 - Hazardous - Pickling acids</t>
  </si>
  <si>
    <t xml:space="preserve">    11 01 06 - Hazardous - Acids not otherwise specified</t>
  </si>
  <si>
    <t xml:space="preserve">    11 01 07 - Hazardous - Pickling bases</t>
  </si>
  <si>
    <t xml:space="preserve">    11 01 08 - Hazardous - Phosphatising sludges</t>
  </si>
  <si>
    <t xml:space="preserve">    11 01 09 - Hazardous - Sludges and filter cakes containing hazardous substances</t>
  </si>
  <si>
    <t xml:space="preserve">    11 01 10 - Non-Hazardous - Sludges and filter cakes other than those mentioned in 11 01 09</t>
  </si>
  <si>
    <t xml:space="preserve">    11 01 11 - Hazardous - Aqueous rinsing liquids containing hazardous substances</t>
  </si>
  <si>
    <t xml:space="preserve">    11 01 12 - Non-Hazardous - Aqueous rinsing liquids other than those mentioned in 11 01 11</t>
  </si>
  <si>
    <t xml:space="preserve">    11 01 13 - Hazardous - Degreasing wastes containing hazardous substances</t>
  </si>
  <si>
    <t xml:space="preserve">    11 01 14 - Non-Hazardous - Degreasing wastes other than those mentioned in 11 01 13</t>
  </si>
  <si>
    <t xml:space="preserve">    11 01 15 - Hazardous - Eluate and sludges from membrane systems or ion exchange systems containing hazardous substances</t>
  </si>
  <si>
    <t xml:space="preserve">    11 01 16 - Hazardous - Saturated or spent ion exchange resins</t>
  </si>
  <si>
    <t xml:space="preserve">    11 01 98 - Hazardous - Other wastes containing hazardous substances</t>
  </si>
  <si>
    <t xml:space="preserve">    11 01 99 - Non-Hazardous - Wastes not otherwise specified</t>
  </si>
  <si>
    <t xml:space="preserve">  11 02 - Wastes from non-ferrous hydrometallurgical processes</t>
  </si>
  <si>
    <t xml:space="preserve">    11 02 02 - Hazardous - Sludges from zinc hydrometallurgy (including jarosite, goethite)</t>
  </si>
  <si>
    <t xml:space="preserve">    11 02 03 - Non-Hazardous - Wastes from the production of anodes for aqueous electrolytical processes</t>
  </si>
  <si>
    <t xml:space="preserve">    11 02 05 - Hazardous - Wastes from copper hydrometallurgical processes containing hazardous substances</t>
  </si>
  <si>
    <t xml:space="preserve">    11 02 06 - Non-Hazardous - Wastes from copper hydrometallurgical processes other than those mentioned in 11 02 05</t>
  </si>
  <si>
    <t xml:space="preserve">    11 02 07 - Hazardous - Other wastes containing hazardous substances</t>
  </si>
  <si>
    <t xml:space="preserve">    11 02 99 - Non-Hazardous - Wastes not otherwise specified</t>
  </si>
  <si>
    <t xml:space="preserve">  11 03 - Sludges and solids from tempering processes</t>
  </si>
  <si>
    <t xml:space="preserve">    11 03 01 - Hazardous - Wastes containing cyanide</t>
  </si>
  <si>
    <t xml:space="preserve">    11 03 02 - Hazardous - Other wastes</t>
  </si>
  <si>
    <t xml:space="preserve">  11 05 - Wastes from hot galvanising processes</t>
  </si>
  <si>
    <t xml:space="preserve">    11 05 01 - Non-Hazardous - Hard zinc</t>
  </si>
  <si>
    <t xml:space="preserve">    11 05 02 - Non-Hazardous - Zinc ash</t>
  </si>
  <si>
    <t xml:space="preserve">    11 05 03 - Hazardous - Solid wastes from gas treatment</t>
  </si>
  <si>
    <t xml:space="preserve">    11 05 04 - Hazardous - Spent flux</t>
  </si>
  <si>
    <t xml:space="preserve">    11 05 99 - Non-Hazardous - Wastes not otherwise specified</t>
  </si>
  <si>
    <t xml:space="preserve">  12 01 - Wastes from shaping and physical and mechanical surface treatment of metals and plastics</t>
  </si>
  <si>
    <t xml:space="preserve">    12 01 01 - Non-Hazardous - Ferrous metal filings and turnings</t>
  </si>
  <si>
    <t xml:space="preserve">    12 01 02 - Non-Hazardous - Ferrous metal dust and particles</t>
  </si>
  <si>
    <t xml:space="preserve">    12 01 03 - Non-Hazardous - Non-ferrous metal filings and turnings</t>
  </si>
  <si>
    <t xml:space="preserve">    12 01 04 - Non-Hazardous - Non-ferrous metal dust and particles</t>
  </si>
  <si>
    <t xml:space="preserve">    12 01 05 - Non-Hazardous - Plastics shavings and turnings</t>
  </si>
  <si>
    <t xml:space="preserve">    12 01 06 - Hazardous - Mineral-based machining oils containing halogens (except emulsions and solutions)</t>
  </si>
  <si>
    <t xml:space="preserve">    12 01 07 - Hazardous - Mineral-based machining oils free of halogens (except emulsions and solutions)</t>
  </si>
  <si>
    <t xml:space="preserve">    12 01 08 - Hazardous - Machining emulsions and solutions containing halogens</t>
  </si>
  <si>
    <t xml:space="preserve">    12 01 09 - Hazardous - Machining emulsions and solutions free of halogens</t>
  </si>
  <si>
    <t xml:space="preserve">    12 01 10 - Hazardous - Synthetic machining oils</t>
  </si>
  <si>
    <t xml:space="preserve">    12 01 12 - Hazardous - Spent waxes and fats</t>
  </si>
  <si>
    <t xml:space="preserve">    12 01 13 - Non-Hazardous - Welding wastes</t>
  </si>
  <si>
    <t xml:space="preserve">    12 01 14 - Hazardous - Machining sludges containing hazardous substances</t>
  </si>
  <si>
    <t xml:space="preserve">    12 01 15 - Non-Hazardous - Machining sludges other than those mentioned in 12 01 14</t>
  </si>
  <si>
    <t xml:space="preserve">    12 01 16 - Hazardous - Waste blasting material containing hazardous substances</t>
  </si>
  <si>
    <t xml:space="preserve">    12 01 17 - Non-Hazardous - Waste blasting material other than those mentioned in 12 01 16</t>
  </si>
  <si>
    <t xml:space="preserve">    12 01 18 - Hazardous - Metal sludge (grinding, honing and lapping sludge) containing oil</t>
  </si>
  <si>
    <t xml:space="preserve">    12 01 19 - Hazardous - Readily biodegradable machining oil</t>
  </si>
  <si>
    <t xml:space="preserve">    12 01 20 - Hazardous - Spent grinding bodies and grinding materials containing hazardous substances</t>
  </si>
  <si>
    <t xml:space="preserve">    12 01 21 - Non-Hazardous - Spent grinding bodies and grinding materials other than those mentioned in 12 01 20</t>
  </si>
  <si>
    <t xml:space="preserve">    12 01 99 - Non-Hazardous - Wastes not otherwise specified</t>
  </si>
  <si>
    <t xml:space="preserve">  12 03 - Wastes from water and steam degreasing processes (except 11)</t>
  </si>
  <si>
    <t xml:space="preserve">    12 03 01 - Hazardous - Aqueous washing liquids</t>
  </si>
  <si>
    <t xml:space="preserve">    12 03 02 - Hazardous - Steam degreasing wastes</t>
  </si>
  <si>
    <t xml:space="preserve">  13 01 - Waste hydraulic oils</t>
  </si>
  <si>
    <t xml:space="preserve">    13 01 01 - Hazardous - Hydraulic oils, containing PCBs</t>
  </si>
  <si>
    <t xml:space="preserve">    13 01 04 - Hazardous - Chlorinated emulsions</t>
  </si>
  <si>
    <t xml:space="preserve">    13 01 05 - Hazardous - Non-chlorinated emulsions</t>
  </si>
  <si>
    <t xml:space="preserve">    13 01 09 - Hazardous - Mineral-based chlorinated hydraulic oils</t>
  </si>
  <si>
    <t xml:space="preserve">    13 01 10 - Hazardous - Mineral based non-chlorinated hydraulic oils</t>
  </si>
  <si>
    <t xml:space="preserve">    13 01 11 - Hazardous - Synthetic hydraulic oils</t>
  </si>
  <si>
    <t xml:space="preserve">    13 01 12 - Hazardous - Readily biodegradable hydraulic oils</t>
  </si>
  <si>
    <t xml:space="preserve">    13 01 13 - Hazardous - Other hydraulic oils</t>
  </si>
  <si>
    <t xml:space="preserve">  13 02 - Waste engine, gear and lubricating oils</t>
  </si>
  <si>
    <t xml:space="preserve">    13 02 04 - Hazardous - Mineral-based chlorinated engine, gear and lubricating oils</t>
  </si>
  <si>
    <t xml:space="preserve">    13 02 05 - Hazardous - Mineral-based non-chlorinated engine, gear and lubricating oils</t>
  </si>
  <si>
    <t xml:space="preserve">    13 02 06 - Hazardous - Synthetic engine, gear and lubricating oils</t>
  </si>
  <si>
    <t xml:space="preserve">    13 02 07 - Hazardous - Readily biodegradable engine, gear and lubricating oils</t>
  </si>
  <si>
    <t xml:space="preserve">    13 02 08 - Hazardous - Other engine, gear and lubricating oils</t>
  </si>
  <si>
    <t xml:space="preserve">  13 03 - Waste insulating and heat transmission oils</t>
  </si>
  <si>
    <t xml:space="preserve">    13 03 01 - Hazardous - Insulating or heat transmission oils containing PCBs</t>
  </si>
  <si>
    <t xml:space="preserve">    13 03 06 - Hazardous - Mineral-based chlorinated insulating and heat transmission oils other than those mentioned in 13 03 01</t>
  </si>
  <si>
    <t xml:space="preserve">    13 03 07 - Hazardous - Mineral-based non-chlorinated insulating and heat transmission oils</t>
  </si>
  <si>
    <t xml:space="preserve">    13 03 08 - Hazardous - Synthetic insulating and heat transmission oils</t>
  </si>
  <si>
    <t xml:space="preserve">    13 03 09 - Hazardous - Readily biodegradable insulating and heat transmission oils</t>
  </si>
  <si>
    <t xml:space="preserve">    13 03 10 - Hazardous - Other insulating and heat transmission oils</t>
  </si>
  <si>
    <t xml:space="preserve">  13 04 - Bilge oils</t>
  </si>
  <si>
    <t xml:space="preserve">    13 04 01 - Hazardous - Bilge oils from inland navigation</t>
  </si>
  <si>
    <t xml:space="preserve">    13 04 02 - Hazardous - Bilge oils from jetty sewers</t>
  </si>
  <si>
    <t xml:space="preserve">    13 04 03 - Hazardous - Bilge oils from other navigation</t>
  </si>
  <si>
    <t xml:space="preserve">  13 05 - Oil/water separator contents</t>
  </si>
  <si>
    <t xml:space="preserve">    13 05 01 - Hazardous - Solids from grit chambers and oil/water separators</t>
  </si>
  <si>
    <t xml:space="preserve">    13 05 02 - Hazardous - Sludges from oil/water separators</t>
  </si>
  <si>
    <t xml:space="preserve">    13 05 03 - Hazardous - Interceptor sludges</t>
  </si>
  <si>
    <t xml:space="preserve">    13 05 06 - Hazardous - Oil from oil/water separators</t>
  </si>
  <si>
    <t xml:space="preserve">    13 05 07 - Hazardous - Oily water from oil/water separators</t>
  </si>
  <si>
    <t xml:space="preserve">    13 05 08 - Hazardous - Mixtures of wastes from grit chambers and oil/water separators</t>
  </si>
  <si>
    <t xml:space="preserve">  13 07 - Wastes of liquid fuels</t>
  </si>
  <si>
    <t xml:space="preserve">    13 07 01 - Hazardous - Fuel oil and diesel</t>
  </si>
  <si>
    <t xml:space="preserve">    13 07 02 - Hazardous - Petrol</t>
  </si>
  <si>
    <t xml:space="preserve">    13 07 03 - Hazardous - Other fuels (including mixtures)</t>
  </si>
  <si>
    <t xml:space="preserve">  13 08 - Oil wastes not otherwise specified</t>
  </si>
  <si>
    <t xml:space="preserve">    13 08 01 - Hazardous - Desalter sludges or emulsions</t>
  </si>
  <si>
    <t xml:space="preserve">    13 08 02 - Hazardous - Other emulsions</t>
  </si>
  <si>
    <t xml:space="preserve">    13 08 99 - Hazardous - Wastes not otherwise specified</t>
  </si>
  <si>
    <t xml:space="preserve">  14 06 - Waste organic solvents, refrigerants and foam/aerosol propellants</t>
  </si>
  <si>
    <t xml:space="preserve">    14 06 01 - Hazardous - Chlorofluorocarbons, HCFC, HFC</t>
  </si>
  <si>
    <t xml:space="preserve">    14 06 02 - Hazardous - Other halogenated solvents and solvent mixtures</t>
  </si>
  <si>
    <t xml:space="preserve">    14 06 03 - Hazardous - Other solvents and solvent mixtures</t>
  </si>
  <si>
    <t xml:space="preserve">    14 06 04 - Hazardous - Sludges or solid wastes containing halogenated solvents</t>
  </si>
  <si>
    <t xml:space="preserve">    14 06 05 - Hazardous - Sludges or solid wastes containing other solvents</t>
  </si>
  <si>
    <t xml:space="preserve">  15 01 - Packaging (including separately collected municipal packaging waste)</t>
  </si>
  <si>
    <t xml:space="preserve">    15 01 01 - Non-Hazardous - Paper and cardboard packaging</t>
  </si>
  <si>
    <t xml:space="preserve">    15 01 02 - Non-Hazardous - Plastic packaging</t>
  </si>
  <si>
    <t xml:space="preserve">    15 01 03 - Non-Hazardous - Wooden packaging</t>
  </si>
  <si>
    <t xml:space="preserve">    15 01 04 - Non-Hazardous - Metallic packaging</t>
  </si>
  <si>
    <t xml:space="preserve">    15 01 05 - Non-Hazardous - Composite packaging</t>
  </si>
  <si>
    <t xml:space="preserve">    15 01 06 - Non-Hazardous - Mixed packaging</t>
  </si>
  <si>
    <t xml:space="preserve">    15 01 07 - Non-Hazardous - Glass packaging</t>
  </si>
  <si>
    <t xml:space="preserve">    15 01 09 - Non-Hazardous - Textile packaging</t>
  </si>
  <si>
    <t xml:space="preserve">    15 01 10 - Hazardous - Packaging containing residues of or contaminated by hazardous substances</t>
  </si>
  <si>
    <t xml:space="preserve">    15 01 11 - Hazardous - Metallic packaging containing a hazardous solid porous matrix (for example asbestos), including empty pressure containers</t>
  </si>
  <si>
    <t xml:space="preserve">  15 02 - Absorbents, filter materials, wiping cloths and protective clothing</t>
  </si>
  <si>
    <t xml:space="preserve">    15 02 02 - Hazardous - Absorbents, filter materials (including oil filters not otherwise specified), wiping cloths, protective clothing contaminated by hazardous substances</t>
  </si>
  <si>
    <t xml:space="preserve">    15 02 03 - Non-Hazardous - Absorbents, filter materials, wiping cloths and protective clothing other than those mentioned in 15 02 02</t>
  </si>
  <si>
    <t xml:space="preserve">  16 01 - End-of-life vehicles from different means of transport (including off-road machinery) and wastes from dismantling of end-of-life vehicles and vehicle maintenance (except 13, 14, 16 06 and 16 08)</t>
  </si>
  <si>
    <t xml:space="preserve">    16 01 03 - Non-Hazardous - End-of-life tyres</t>
  </si>
  <si>
    <t xml:space="preserve">    16 01 04 - Hazardous - End-of-life vehicles</t>
  </si>
  <si>
    <t xml:space="preserve">    16 01 06 - Non-Hazardous - End-of-life vehicles, containing neither liquids nor other hazardous components</t>
  </si>
  <si>
    <t xml:space="preserve">    16 01 07 - Hazardous - Oil filters</t>
  </si>
  <si>
    <t xml:space="preserve">    16 01 08 - Hazardous - Components containing mercury</t>
  </si>
  <si>
    <t xml:space="preserve">    16 01 09 - Hazardous - Components containing PCBs</t>
  </si>
  <si>
    <t xml:space="preserve">    16 01 10 - Hazardous - Explosive components (for example air bags)</t>
  </si>
  <si>
    <t xml:space="preserve">    16 01 11 - Hazardous - Brake pads containing asbestos</t>
  </si>
  <si>
    <t xml:space="preserve">    16 01 12 - Non-Hazardous - Brake pads other than those mentioned in 16 01 11</t>
  </si>
  <si>
    <t xml:space="preserve">    16 01 13 - Hazardous - Brake fluids</t>
  </si>
  <si>
    <t xml:space="preserve">    16 01 14 - Hazardous - Antifreeze fluids containing hazardous substances</t>
  </si>
  <si>
    <t xml:space="preserve">    16 01 15 - Non-Hazardous - Antifreeze fluids other than those mentioned in 16 01 14</t>
  </si>
  <si>
    <t xml:space="preserve">    16 01 16 - Non-Hazardous - Tanks for liquefied gas</t>
  </si>
  <si>
    <t xml:space="preserve">    16 01 17 - Non-Hazardous - Ferrous metal</t>
  </si>
  <si>
    <t xml:space="preserve">    16 01 18 - Non-Hazardous - Non-ferrous metal</t>
  </si>
  <si>
    <t xml:space="preserve">    16 01 19 - Non-Hazardous - Plastic</t>
  </si>
  <si>
    <t xml:space="preserve">    16 01 20 - Non-Hazardous - Glass</t>
  </si>
  <si>
    <t xml:space="preserve">    16 01 21 - Hazardous - Hazardous components other than those mentioned in 16 01 07 to 16 01 11 and 16 01 13 and 16 01 14</t>
  </si>
  <si>
    <t xml:space="preserve">    16 01 22 - Non-Hazardous - Components not otherwise specified</t>
  </si>
  <si>
    <t xml:space="preserve">    16 01 99 - Non-Hazardous - Wastes not otherwise specified</t>
  </si>
  <si>
    <t xml:space="preserve">  16 02 - Wastes from electrical and electronic equipment</t>
  </si>
  <si>
    <t xml:space="preserve">    16 02 09 - Hazardous - Transformers and capacitors containing PCBs</t>
  </si>
  <si>
    <t xml:space="preserve">    16 02 10 - Hazardous - Discarded equipment containing or contaminated by PCBs other than those mentioned in 16 02 09</t>
  </si>
  <si>
    <t xml:space="preserve">    16 02 11 - Hazardous - Discarded equipment containing chlorofluorocarbons, HCFC, HFC</t>
  </si>
  <si>
    <t xml:space="preserve">    16 02 12 - Hazardous - Discarded equipment containing free asbestos</t>
  </si>
  <si>
    <t xml:space="preserve">    16 02 13 - Hazardous - Discarded equipment containing hazardous components (3) other than those mentioned in 16 02 09 to 16 02 12</t>
  </si>
  <si>
    <t xml:space="preserve">    16 02 14 - Non-Hazardous - Discarded equipment other than those mentioned in 16 02 09 to 16 02 13</t>
  </si>
  <si>
    <t xml:space="preserve">    16 02 15 - Hazardous - Hazardous components removed from discarded equipment</t>
  </si>
  <si>
    <t xml:space="preserve">    16 02 16 - Non-Hazardous - Components removed from discarded equipment other than those mentioned in 16 02 15</t>
  </si>
  <si>
    <t xml:space="preserve">  16 03 - Off-specification batches and unused products</t>
  </si>
  <si>
    <t xml:space="preserve">    16 03 03 - Hazardous - Inorganic wastes containing hazardous substances</t>
  </si>
  <si>
    <t xml:space="preserve">    16 03 04 - Non-Hazardous - Inorganic wastes other than those mentioned in 16 03 03</t>
  </si>
  <si>
    <t xml:space="preserve">    16 03 05 - Hazardous - Organic wastes containing hazardous substances</t>
  </si>
  <si>
    <t xml:space="preserve">    16 03 06 - Non-Hazardous - Organic wastes other than those mentioned in 16 03 05</t>
  </si>
  <si>
    <t xml:space="preserve">    16 03 07 - Hazardous - Metallic mercury</t>
  </si>
  <si>
    <t xml:space="preserve">  16 04 - Waste explosives</t>
  </si>
  <si>
    <t xml:space="preserve">    16 04 01 - Hazardous - Waste ammunition</t>
  </si>
  <si>
    <t xml:space="preserve">    16 04 02 - Hazardous - Fireworks wastes</t>
  </si>
  <si>
    <t xml:space="preserve">    16 04 03 - Hazardous - Other waste explosives</t>
  </si>
  <si>
    <t xml:space="preserve">  16 05 - Gases in pressure containers and discarded chemicals</t>
  </si>
  <si>
    <t xml:space="preserve">    16 05 04 - Hazardous - Gases in pressure containers (including halons) containing hazardous substances</t>
  </si>
  <si>
    <t xml:space="preserve">    16 05 05 - Non-Hazardous - Gases in pressure containers other than those mentioned in 16 05 04</t>
  </si>
  <si>
    <t xml:space="preserve">    16 05 06 - Hazardous - Laboratory chemicals, consisting of or containing hazardous substances, including mixtures of laboratory chemicals</t>
  </si>
  <si>
    <t xml:space="preserve">    16 05 07 - Hazardous - Discarded inorganic chemicals consisting of or containing hazardous substances</t>
  </si>
  <si>
    <t xml:space="preserve">    16 05 08 - Hazardous - Discarded organic chemicals consisting of or containing hazardous substances</t>
  </si>
  <si>
    <t xml:space="preserve">    16 05 09 - Non-Hazardous - Discarded chemicals other than those mentioned in 16 05 06, 16 05 07 or 16 05 08</t>
  </si>
  <si>
    <t xml:space="preserve">  16 06 - Batteries and accumulators</t>
  </si>
  <si>
    <t xml:space="preserve">    16 06 01 - Hazardous - Lead batteries</t>
  </si>
  <si>
    <t xml:space="preserve">    16 06 02 - Hazardous - Ni-Cd batteries</t>
  </si>
  <si>
    <t xml:space="preserve">    16 06 03 - Hazardous - Mercury-containing batteries</t>
  </si>
  <si>
    <t xml:space="preserve">    16 06 04 - Non-Hazardous - Alkaline batteries (except 16 06 03)</t>
  </si>
  <si>
    <t xml:space="preserve">    16 06 05 - Non-Hazardous - Other batteries and accumulators</t>
  </si>
  <si>
    <t xml:space="preserve">    16 06 06 - Hazardous - Separately collected electrolyte from batteries and accumulators</t>
  </si>
  <si>
    <t xml:space="preserve">  16 07 - Wastes from transport tank, storage tank and barrel cleaning (except 05 and 13)</t>
  </si>
  <si>
    <t xml:space="preserve">    16 07 08 - Hazardous - Wastes containing oil</t>
  </si>
  <si>
    <t xml:space="preserve">    16 07 09 - Hazardous - Wastes containing other hazardous substances</t>
  </si>
  <si>
    <t xml:space="preserve">    16 07 99 - Non-Hazardous - Wastes not otherwise specified</t>
  </si>
  <si>
    <t xml:space="preserve">  16 08 - Spent catalysts</t>
  </si>
  <si>
    <t xml:space="preserve">    16 08 01 - Non-Hazardous - Spent catalysts containing gold, silver, rhenium, rhodium, palladium, iridium or platinum (except 16 08 07)</t>
  </si>
  <si>
    <t xml:space="preserve">    16 08 02 - Hazardous - Spent catalysts containing hazardous transition metals or hazardous transition metal compounds</t>
  </si>
  <si>
    <t xml:space="preserve">    16 08 03 - Non-Hazardous - Spent catalysts containing transition metals or transition metal compounds not otherwise specified</t>
  </si>
  <si>
    <t xml:space="preserve">    16 08 04 - Non-Hazardous - Spent fluid catalytic cracking catalysts (except 16 08 07)</t>
  </si>
  <si>
    <t xml:space="preserve">    16 08 05 - Hazardous - Spent catalysts containing phosphoric acid</t>
  </si>
  <si>
    <t xml:space="preserve">    16 08 06 - Hazardous - Spent liquids used as catalysts</t>
  </si>
  <si>
    <t xml:space="preserve">    16 08 07 - Hazardous - Spent catalysts contaminated with hazardous substances</t>
  </si>
  <si>
    <t xml:space="preserve">  16 09 - Oxidising substances</t>
  </si>
  <si>
    <t xml:space="preserve">    16 09 01 - Hazardous - Permanganates, for example potassium permanganate</t>
  </si>
  <si>
    <t xml:space="preserve">    16 09 02 - Hazardous - Chromates, for example potassium chromate, potassium or sodium dichromate</t>
  </si>
  <si>
    <t xml:space="preserve">    16 09 03 - Hazardous - Peroxides, for example hydrogen peroxide</t>
  </si>
  <si>
    <t xml:space="preserve">    16 09 04 - Hazardous - Oxidising substances, not otherwise specified</t>
  </si>
  <si>
    <t xml:space="preserve">  16 10 - Aqueous liquid wastes destined for off-site treatment</t>
  </si>
  <si>
    <t xml:space="preserve">    16 10 01 - Hazardous - Aqueous liquid wastes containing hazardous substances</t>
  </si>
  <si>
    <t xml:space="preserve">    16 10 02 - Non-Hazardous - Aqueous liquid wastes other than those mentioned in 16 10 01</t>
  </si>
  <si>
    <t xml:space="preserve">    16 10 03 - Hazardous - Aqueous concentrates containing hazardous substances</t>
  </si>
  <si>
    <t xml:space="preserve">    16 10 04 - Non-Hazardous - Aqueous concentrates other than those mentioned in 16 10 03</t>
  </si>
  <si>
    <t xml:space="preserve">  16 11 - Waste linings and refractories</t>
  </si>
  <si>
    <t xml:space="preserve">    16 11 01 - Hazardous - Carbon-based linings and refractories from metallurgical processes containing hazardous substances</t>
  </si>
  <si>
    <t xml:space="preserve">    16 11 02 - Non-Hazardous - Carbon-based linings and refractories from metallurgical processes others than those mentioned in 16 11 01</t>
  </si>
  <si>
    <t xml:space="preserve">    16 11 03 - Hazardous - Other linings and refractories from metallurgical processes containing hazardous substances</t>
  </si>
  <si>
    <t xml:space="preserve">    16 11 04 - Non-Hazardous - Other linings and refractories from metallurgical processes other than those mentioned in 16 11 03</t>
  </si>
  <si>
    <t xml:space="preserve">    16 11 05 - Hazardous - Linings and refractories from non-metallurgical processes containing hazardous substances</t>
  </si>
  <si>
    <t xml:space="preserve">    16 11 06 - Non-Hazardous - Linings and refractories from non-metallurgical processes others than those mentioned in 16 11 05</t>
  </si>
  <si>
    <t xml:space="preserve">  17 01 - Concrete, bricks, tiles and ceramics</t>
  </si>
  <si>
    <t xml:space="preserve">    17 01 01 - Non-Hazardous - Concrete</t>
  </si>
  <si>
    <t xml:space="preserve">    17 01 02 - Non-Hazardous - Bricks</t>
  </si>
  <si>
    <t xml:space="preserve">    17 01 03 - Non-Hazardous - Tiles and ceramics</t>
  </si>
  <si>
    <t xml:space="preserve">    17 01 06 - Hazardous - Mixtures of, or separate fractions of concrete, bricks, tiles and ceramics containing hazardous substances</t>
  </si>
  <si>
    <t xml:space="preserve">    17 01 07 - Non-Hazardous - Mixtures of concrete, bricks, tiles and ceramics other than those mentioned in 17 01 06</t>
  </si>
  <si>
    <t xml:space="preserve">  17 02 - Wood, glass and plastic</t>
  </si>
  <si>
    <t xml:space="preserve">    17 02 01 - Non-Hazardous - Wood</t>
  </si>
  <si>
    <t xml:space="preserve">    17 02 02 - Non-Hazardous - Glass</t>
  </si>
  <si>
    <t xml:space="preserve">    17 02 03 - Non-Hazardous - Plastic</t>
  </si>
  <si>
    <t xml:space="preserve">    17 02 04 - Hazardous - Glass, plastic and wood containing or contaminated with hazardous substances</t>
  </si>
  <si>
    <t xml:space="preserve">  17 03 - Bituminous mixtures, coal tar and tarred products</t>
  </si>
  <si>
    <t xml:space="preserve">    17 03 01 - Hazardous - Bituminous mixtures containing coal tar</t>
  </si>
  <si>
    <t xml:space="preserve">    17 03 02 - Non-Hazardous - Bituminous mixtures other than those mentioned in 17 03 01</t>
  </si>
  <si>
    <t xml:space="preserve">    17 03 03 - Hazardous - Coal tar and tarred products</t>
  </si>
  <si>
    <t xml:space="preserve">  17 04 - Metals (including their alloys)</t>
  </si>
  <si>
    <t xml:space="preserve">    17 04 01 - Non-Hazardous - Copper, bronze, brass</t>
  </si>
  <si>
    <t xml:space="preserve">    17 04 02 - Non-Hazardous - Aluminium</t>
  </si>
  <si>
    <t xml:space="preserve">    17 04 03 - Non-Hazardous - Lead</t>
  </si>
  <si>
    <t xml:space="preserve">    17 04 04 - Non-Hazardous - Zinc</t>
  </si>
  <si>
    <t xml:space="preserve">    17 04 05 - Non-Hazardous - Iron and steel</t>
  </si>
  <si>
    <t xml:space="preserve">    17 04 06 - Non-Hazardous - Tin</t>
  </si>
  <si>
    <t xml:space="preserve">    17 04 07 - Non-Hazardous - Mixed metals</t>
  </si>
  <si>
    <t xml:space="preserve">    17 04 09 - Hazardous - Metal waste contaminated with hazardous substances</t>
  </si>
  <si>
    <t xml:space="preserve">    17 04 10 - Hazardous - Cables containing oil, coal tar and other hazardous substances</t>
  </si>
  <si>
    <t xml:space="preserve">    17 04 11 - Non-Hazardous - Cables other than those mentioned in 17 04 10</t>
  </si>
  <si>
    <t xml:space="preserve">  17 05 - Soil (including excavated soil from contaminated sites), stones and dredging spoil</t>
  </si>
  <si>
    <t xml:space="preserve">    17 05 03 - Hazardous - Soil and stones containing hazardous substances</t>
  </si>
  <si>
    <t xml:space="preserve">    17 05 04 - Non-Hazardous - Soil and stones other than those mentioned in 17 05 03</t>
  </si>
  <si>
    <t xml:space="preserve">    17 05 05 - Hazardous - Dredging spoil containing hazardous substances</t>
  </si>
  <si>
    <t xml:space="preserve">    17 05 06 - Non-Hazardous - Dredging spoil other than those mentioned in 17 05 05</t>
  </si>
  <si>
    <t xml:space="preserve">    17 05 07 - Hazardous - Track ballast containing hazardous substances</t>
  </si>
  <si>
    <t xml:space="preserve">    17 05 08 - Non-Hazardous - Track ballast other than those mentioned in 17 05 07</t>
  </si>
  <si>
    <t xml:space="preserve">  17 06 - Insulation materials and asbestos-containing construction materials</t>
  </si>
  <si>
    <t xml:space="preserve">    17 06 01 - Hazardous - Insulation materials containing asbestos</t>
  </si>
  <si>
    <t xml:space="preserve">    17 06 03 - Hazardous - Other insulation materials consisting of or containing hazardous substances</t>
  </si>
  <si>
    <t xml:space="preserve">    17 06 04 - Non-Hazardous - Insulation materials other than those mentioned in 17 06 01 and 17 06 03</t>
  </si>
  <si>
    <t xml:space="preserve">    17 06 05 - Hazardous - Construction materials containing asbestos</t>
  </si>
  <si>
    <t xml:space="preserve">  17 08 - Gypsum-based construction material</t>
  </si>
  <si>
    <t xml:space="preserve">    17 08 01 - Hazardous - Gypsum-based construction materials contaminated with hazardous substances</t>
  </si>
  <si>
    <t xml:space="preserve">    17 08 02 - Non-Hazardous - Gypsum-based construction materials other than those mentioned in 17 08 01</t>
  </si>
  <si>
    <t xml:space="preserve">  17 09 - Other construction and demolition wastes</t>
  </si>
  <si>
    <t xml:space="preserve">    17 09 01 - Hazardous - Construction and demolition wastes containing mercury</t>
  </si>
  <si>
    <t xml:space="preserve">    17 09 02 - Hazardous - Construction and demolition wastes containing PCB (for example PCB-containing sealants, PCB-containing resin-based floorings, PCB-containing sealed glazing units, PCB-containing capacitors)</t>
  </si>
  <si>
    <t xml:space="preserve">    17 09 03 - Hazardous - Other construction and demolition wastes (including mixed wastes) containing hazardous substances</t>
  </si>
  <si>
    <t xml:space="preserve">    17 09 04 - Non-Hazardous - Mixed construction and demolition wastes other than those mentioned in 17 09 01, 17 09 02 and 17 09 03</t>
  </si>
  <si>
    <t xml:space="preserve">  18 01 - Wastes from natal care, diagnosis, treatment or prevention of disease in humans</t>
  </si>
  <si>
    <t xml:space="preserve">    18 01 01 - Non-Hazardous - Sharps (except 18 01 03)</t>
  </si>
  <si>
    <t xml:space="preserve">    18 01 02 - Non-Hazardous - Body parts and organs including blood bags and blood preserves (except 18 01 03)</t>
  </si>
  <si>
    <t xml:space="preserve">    18 01 03 - Hazardous - Wastes whose collection and disposal is subject to special requirements in order to prevent infection</t>
  </si>
  <si>
    <t xml:space="preserve">    18 01 04 - Non-Hazardous - Wastes whose collection and disposal is not subject to special requirements in order to prevent infection (for example dressings, plaster casts, linen, disposable clothing, diapers)</t>
  </si>
  <si>
    <t xml:space="preserve">    18 01 06 - Hazardous - Chemicals consisting of or containing hazardous substances</t>
  </si>
  <si>
    <t xml:space="preserve">    18 01 07 - Non-Hazardous - Chemicals other than those mentioned in 18 01 06</t>
  </si>
  <si>
    <t xml:space="preserve">    18 01 08 - Hazardous - Cytotoxic and cytostatic medicines</t>
  </si>
  <si>
    <t xml:space="preserve">    18 01 09 - Non-Hazardous - Medicines other than those mentioned in 18 01 08</t>
  </si>
  <si>
    <t xml:space="preserve">    18 01 10 - Hazardous - Amalgam waste from dental care</t>
  </si>
  <si>
    <t xml:space="preserve">  18 02 - Wastes from research, diagnosis, treatment or prevention of disease involving animals</t>
  </si>
  <si>
    <t xml:space="preserve">    18 02 01 - Non-Hazardous - Sharps (except 18 02 02)</t>
  </si>
  <si>
    <t xml:space="preserve">    18 02 02 - Hazardous - Wastes whose collection and disposal is subject to special requirements in order to prevent infection</t>
  </si>
  <si>
    <t xml:space="preserve">    18 02 03 - Non-Hazardous - Wastes whose collection and disposal is not subject to special requirements in order to prevent infection</t>
  </si>
  <si>
    <t xml:space="preserve">    18 02 05 - Hazardous - Chemicals consisting of or containing hazardous substances</t>
  </si>
  <si>
    <t xml:space="preserve">    18 02 06 - Non-Hazardous - Chemicals other than those mentioned in 18 02 05</t>
  </si>
  <si>
    <t xml:space="preserve">    18 02 07 - Hazardous - Cytotoxic and cytostatic medicines</t>
  </si>
  <si>
    <t xml:space="preserve">    18 02 08 - Non-Hazardous - Medicines other than those mentioned in 18 02 07</t>
  </si>
  <si>
    <t xml:space="preserve">  19 01 - Wastes from incineration or pyrolysis of waste</t>
  </si>
  <si>
    <t xml:space="preserve">    19 01 02 - Non-Hazardous - Ferrous materials removed from bottom ash</t>
  </si>
  <si>
    <t xml:space="preserve">    19 01 05 - Hazardous - Filter cake from gas treatment</t>
  </si>
  <si>
    <t xml:space="preserve">    19 01 06 - Hazardous - Aqueous liquid wastes from gas treatment and other aqueous liquid wastes</t>
  </si>
  <si>
    <t xml:space="preserve">    19 01 07 - Hazardous - Solid wastes from gas treatment</t>
  </si>
  <si>
    <t xml:space="preserve">    19 01 10 - Hazardous - Spent activated carbon from flue-gas treatment</t>
  </si>
  <si>
    <t xml:space="preserve">    19 01 11 - Hazardous - Bottom ash and slag containing hazardous substances</t>
  </si>
  <si>
    <t xml:space="preserve">    19 01 12 - Non-Hazardous - Bottom ash and slag other than those mentioned in 19 01 11</t>
  </si>
  <si>
    <t xml:space="preserve">    19 01 13 - Hazardous - Fly ash containing hazardous substances</t>
  </si>
  <si>
    <t xml:space="preserve">    19 01 14 - Non-Hazardous - Fly ash other than those mentioned in 19 01 13</t>
  </si>
  <si>
    <t xml:space="preserve">    19 01 15 - Hazardous - Boiler dust containing hazardous substances</t>
  </si>
  <si>
    <t xml:space="preserve">    19 01 16 - Non-Hazardous - Boiler dust other than those mentioned in 19 01 15</t>
  </si>
  <si>
    <t xml:space="preserve">    19 01 17 - Hazardous - Pyrolysis wastes containing hazardous substances</t>
  </si>
  <si>
    <t xml:space="preserve">    19 01 18 - Non-Hazardous - Pyrolysis wastes other than those mentioned in 19 01 17</t>
  </si>
  <si>
    <t xml:space="preserve">    19 01 19 - Non-Hazardous - Sands from fluidised beds</t>
  </si>
  <si>
    <t xml:space="preserve">    19 01 99 - Non-Hazardous - Wastes not otherwise specified</t>
  </si>
  <si>
    <t xml:space="preserve">  19 02 - Wastes from physico/chemical treatments of waste (including dechromatation, decyanidation, neutralisation)</t>
  </si>
  <si>
    <t xml:space="preserve">    19 02 03 - Non-Hazardous - Premixed wastes composed only of non-hazardous wastes</t>
  </si>
  <si>
    <t xml:space="preserve">    19 02 04 - Hazardous - Premixed wastes composed of at least one hazardous waste</t>
  </si>
  <si>
    <t xml:space="preserve">    19 02 05 - Hazardous - Sludges from physico/chemical treatment containing hazardous substances</t>
  </si>
  <si>
    <t xml:space="preserve">    19 02 06 - Non-Hazardous - Sludges from physico/chemical treatment other than those mentioned in 19 02 05</t>
  </si>
  <si>
    <t xml:space="preserve">    19 02 07 - Hazardous - Oil and concentrates from separation</t>
  </si>
  <si>
    <t xml:space="preserve">    19 02 08 - Hazardous - Liquid combustible wastes containing hazardous substances</t>
  </si>
  <si>
    <t xml:space="preserve">    19 02 09 - Hazardous - Solid combustible wastes containing hazardous substances</t>
  </si>
  <si>
    <t xml:space="preserve">    19 02 10 - Non-Hazardous - Combustible wastes other than those mentioned in 19 02 08 and 19 02 09</t>
  </si>
  <si>
    <t xml:space="preserve">    19 02 11 - Hazardous - Other wastes containing hazardous substances</t>
  </si>
  <si>
    <t xml:space="preserve">    19 02 99 - Non-Hazardous - Wastes not otherwise specified</t>
  </si>
  <si>
    <t xml:space="preserve">  19 03 - Stabilised/solidified wastes</t>
  </si>
  <si>
    <t xml:space="preserve">    19 03 04 - Hazardous - Wastes marked as hazardous, partly stabilised other than 19 03 08</t>
  </si>
  <si>
    <t xml:space="preserve">    19 03 05 - Non-Hazardous - Stabilised wastes other than those mentioned in 19 03 04</t>
  </si>
  <si>
    <t xml:space="preserve">    19 03 06 - Hazardous - Wastes marked as hazardous, solidified</t>
  </si>
  <si>
    <t xml:space="preserve">    19 03 07 - Non-Hazardous - Solidified wastes other than those mentioned in 19 03 06</t>
  </si>
  <si>
    <t xml:space="preserve">    19 03 08 - Hazardous - Partly stabilised mercury</t>
  </si>
  <si>
    <t xml:space="preserve">  19 04 - Vitrified waste and wastes from vitrification</t>
  </si>
  <si>
    <t xml:space="preserve">    19 04 01 - Non-Hazardous - Vitrified waste</t>
  </si>
  <si>
    <t xml:space="preserve">    19 04 02 - Hazardous - Fly ash and other flue-gas treatment wastes</t>
  </si>
  <si>
    <t xml:space="preserve">    19 04 03 - Hazardous - Non-vitrified solid phase</t>
  </si>
  <si>
    <t xml:space="preserve">    19 04 04 - Non-Hazardous - Aqueous liquid wastes from vitrified waste tempering</t>
  </si>
  <si>
    <t xml:space="preserve">  19 05 - Wastes from aerobic treatment of solid wastes</t>
  </si>
  <si>
    <t xml:space="preserve">    19 05 01 - Non-Hazardous - Non-composted fraction of municipal and similar wastes</t>
  </si>
  <si>
    <t xml:space="preserve">    19 05 02 - Non-Hazardous - Non-composted fraction of animal and vegetable waste</t>
  </si>
  <si>
    <t xml:space="preserve">    19 05 03 - Non-Hazardous - Off-specification compost</t>
  </si>
  <si>
    <t xml:space="preserve">    19 05 99 - Non-Hazardous - Wastes not otherwise specified</t>
  </si>
  <si>
    <t xml:space="preserve">  19 06 - Wastes from anaerobic treatment of waste</t>
  </si>
  <si>
    <t xml:space="preserve">    19 06 03 - Non-Hazardous - Liquor from anaerobic treatment of municipal waste</t>
  </si>
  <si>
    <t xml:space="preserve">    19 06 04 - Non-Hazardous - Digestate from anaerobic treatment of municipal waste</t>
  </si>
  <si>
    <t xml:space="preserve">    19 06 05 - Non-Hazardous - Liquor from anaerobic treatment of animal and vegetable waste</t>
  </si>
  <si>
    <t xml:space="preserve">    19 06 06 - Non-Hazardous - Digestate from anaerobic treatment of animal and vegetable waste</t>
  </si>
  <si>
    <t xml:space="preserve">    19 06 99 - Non-Hazardous - Wastes not otherwise specified</t>
  </si>
  <si>
    <t xml:space="preserve">  19 07 - Landfill leachate</t>
  </si>
  <si>
    <t xml:space="preserve">    19 07 02 - Hazardous - Landfill leachate containing hazardous substances</t>
  </si>
  <si>
    <t xml:space="preserve">    19 07 03 - Non-Hazardous - Landfill leachate other than those mentioned in 19 07 02</t>
  </si>
  <si>
    <t xml:space="preserve">  19 08 - Wastes from waste water treatment plants not otherwise specified</t>
  </si>
  <si>
    <t xml:space="preserve">    19 08 01 - Non-Hazardous - Screenings</t>
  </si>
  <si>
    <t xml:space="preserve">    19 08 02 - Non-Hazardous - Waste from desanding</t>
  </si>
  <si>
    <t xml:space="preserve">    19 08 05 - Non-Hazardous - Sludges from treatment of urban waste water</t>
  </si>
  <si>
    <t xml:space="preserve">    19 08 06 - Hazardous - Saturated or spent ion exchange resins</t>
  </si>
  <si>
    <t xml:space="preserve">    19 08 07 - Hazardous - Solutions and sludges from regeneration of ion exchangers</t>
  </si>
  <si>
    <t xml:space="preserve">    19 08 08 - Hazardous - Membrane system waste containing heavy metals</t>
  </si>
  <si>
    <t xml:space="preserve">    19 08 09 - Non-Hazardous - Grease and oil mixture from oil/water separation containing only edible oil and fats</t>
  </si>
  <si>
    <t xml:space="preserve">    19 08 10 - Hazardous - Grease and oil mixture from oil/water separation other than those mentioned in 19 08 09</t>
  </si>
  <si>
    <t xml:space="preserve">    19 08 11 - Hazardous - Sludges containing hazardous substances from biological treatment of industrial waste water</t>
  </si>
  <si>
    <t xml:space="preserve">    19 08 12 - Non-Hazardous - Sludges from biological treatment of industrial waste water other than those mentioned in 19 08 11</t>
  </si>
  <si>
    <t xml:space="preserve">    19 08 13 - Hazardous - Sludges containing hazardous substances from other treatment of industrial waste water</t>
  </si>
  <si>
    <t xml:space="preserve">    19 08 14 - Non-Hazardous - Sludges from other treatment of industrial waste water other than those mentioned in 19 08 13</t>
  </si>
  <si>
    <t xml:space="preserve">    19 08 99 - Non-Hazardous - Wastes not otherwise specified</t>
  </si>
  <si>
    <t xml:space="preserve">  19 09 - Wastes from the preparation of water intended for human consumption or water for industrial use</t>
  </si>
  <si>
    <t xml:space="preserve">    19 09 01 - Non-Hazardous - Solid waste from primary filtration and screenings</t>
  </si>
  <si>
    <t xml:space="preserve">    19 09 02 - Non-Hazardous - Sludges from water clarification</t>
  </si>
  <si>
    <t xml:space="preserve">    19 09 03 - Non-Hazardous - Sludges from decarbonation</t>
  </si>
  <si>
    <t xml:space="preserve">    19 09 04 - Non-Hazardous - Spent activated carbon</t>
  </si>
  <si>
    <t xml:space="preserve">    19 09 05 - Non-Hazardous - Saturated or spent ion exchange resins</t>
  </si>
  <si>
    <t xml:space="preserve">    19 09 06 - Non-Hazardous - Solutions and sludges from regeneration of ion exchangers</t>
  </si>
  <si>
    <t xml:space="preserve">    19 09 99 - Non-Hazardous - Wastes not otherwise specified</t>
  </si>
  <si>
    <t xml:space="preserve">  19 10 - Wastes from shredding of metal-containing wastes</t>
  </si>
  <si>
    <t xml:space="preserve">    19 10 01 - Non-Hazardous - Iron and steel waste</t>
  </si>
  <si>
    <t xml:space="preserve">    19 10 02 - Non-Hazardous - Non-ferrous waste</t>
  </si>
  <si>
    <t xml:space="preserve">    19 10 03 - Hazardous - Fluff-light fraction and dust containing hazardous substances</t>
  </si>
  <si>
    <t xml:space="preserve">    19 10 04 - Non-Hazardous - Fluff-light fraction and dust other than those mentioned in 19 10 03</t>
  </si>
  <si>
    <t xml:space="preserve">    19 10 05 - Hazardous - Other fractions containing hazardous substances</t>
  </si>
  <si>
    <t xml:space="preserve">    19 10 06 - Non-Hazardous - Other fractions other than those mentioned in 19 10 05</t>
  </si>
  <si>
    <t xml:space="preserve">  19 11 - Wastes from oil regeneration</t>
  </si>
  <si>
    <t xml:space="preserve">    19 11 01 - Hazardous - Spent filter clays</t>
  </si>
  <si>
    <t xml:space="preserve">    19 11 02 - Hazardous - Acid tars</t>
  </si>
  <si>
    <t xml:space="preserve">    19 11 03 - Hazardous - Aqueous liquid wastes</t>
  </si>
  <si>
    <t xml:space="preserve">    19 11 04 - Hazardous - Wastes from cleaning of fuel with bases</t>
  </si>
  <si>
    <t xml:space="preserve">    19 11 05 - Hazardous - Sludges from on-site effluent treatment containing hazardous substances</t>
  </si>
  <si>
    <t xml:space="preserve">    19 11 06 - Non-Hazardous - Sludges from on-site effluent treatment other than those mentioned in 19 11 05</t>
  </si>
  <si>
    <t xml:space="preserve">    19 11 07 - Hazardous - Wastes from flue-gas cleaning</t>
  </si>
  <si>
    <t xml:space="preserve">    19 11 99 - Non-Hazardous - Wastes not otherwise specified</t>
  </si>
  <si>
    <t xml:space="preserve">  19 12 - Wastes from the mechanical treatment of waste (for example sorting, crushing, compacting, pelletising) not otherwise specified</t>
  </si>
  <si>
    <t xml:space="preserve">    19 12 01 - Non-Hazardous - Paper and cardboard</t>
  </si>
  <si>
    <t xml:space="preserve">    19 12 02 - Non-Hazardous - Ferrous metal</t>
  </si>
  <si>
    <t xml:space="preserve">    19 12 03 - Non-Hazardous - Non-ferrous metal</t>
  </si>
  <si>
    <t xml:space="preserve">    19 12 04 - Non-Hazardous - Plastic and rubber</t>
  </si>
  <si>
    <t xml:space="preserve">    19 12 05 - Non-Hazardous - Glass</t>
  </si>
  <si>
    <t xml:space="preserve">    19 12 06 - Hazardous - Wood containing hazardous substances</t>
  </si>
  <si>
    <t xml:space="preserve">    19 12 07 - Non-Hazardous - Wood other than that mentioned in 19 12 06</t>
  </si>
  <si>
    <t xml:space="preserve">    19 12 08 - Non-Hazardous - Textiles</t>
  </si>
  <si>
    <t xml:space="preserve">    19 12 09 - Non-Hazardous - Minerals (for example sand, stones)</t>
  </si>
  <si>
    <t xml:space="preserve">    19 12 10 - Non-Hazardous - Combustible waste (refuse derived fuel)</t>
  </si>
  <si>
    <t xml:space="preserve">    19 12 11 - Hazardous - Other wastes (including mixtures of materials) from mechanical treatment of waste containing hazardous substances</t>
  </si>
  <si>
    <t xml:space="preserve">    19 12 12 - Non-Hazardous - Other wastes (including mixtures of materials) from mechanical treatment of wastes other than those mentioned in 19 12 11</t>
  </si>
  <si>
    <t xml:space="preserve">  19 13 - Wastes from soil and groundwater remediation</t>
  </si>
  <si>
    <t xml:space="preserve">    19 13 01 - Hazardous - Solid wastes from soil remediation containing hazardous substances</t>
  </si>
  <si>
    <t xml:space="preserve">    19 13 02 - Non-Hazardous - Solid wastes from soil remediation other than those mentioned in 19 13 01</t>
  </si>
  <si>
    <t xml:space="preserve">    19 13 03 - Hazardous - Sludges from soil remediation containing hazardous substances</t>
  </si>
  <si>
    <t xml:space="preserve">    19 13 04 - Non-Hazardous - Sludges from soil remediation other than those mentioned in 19 13 03</t>
  </si>
  <si>
    <t xml:space="preserve">    19 13 05 - Hazardous - Sludges from groundwater remediation containing hazardous substances</t>
  </si>
  <si>
    <t xml:space="preserve">    19 13 06 - Non-Hazardous - Sludges from groundwater remediation other than those mentioned in 19 13 05</t>
  </si>
  <si>
    <t xml:space="preserve">    19 13 07 - Hazardous - Aqueous liquid wastes and aqueous concentrates from groundwater remediation containing hazardous substances</t>
  </si>
  <si>
    <t xml:space="preserve">    19 13 08 - Non-Hazardous - Aqueous liquid wastes and aqueous concentrates from groundwater remediation other than those mentioned in 19 13 07</t>
  </si>
  <si>
    <t xml:space="preserve">  20 01 - Separately collected fractions (except 15 01)</t>
  </si>
  <si>
    <t xml:space="preserve">    20 01 01 - Non-Hazardous - Paper and cardboard</t>
  </si>
  <si>
    <t xml:space="preserve">    20 01 02 - Non-Hazardous - Glass</t>
  </si>
  <si>
    <t xml:space="preserve">    20 01 08 - Non-Hazardous - Biodegradable kitchen and canteen waste</t>
  </si>
  <si>
    <t xml:space="preserve">    20 01 10 - Non-Hazardous - Clothes</t>
  </si>
  <si>
    <t xml:space="preserve">    20 01 11 - Non-Hazardous - Textiles</t>
  </si>
  <si>
    <t xml:space="preserve">    20 01 13 - Hazardous - Solvents</t>
  </si>
  <si>
    <t xml:space="preserve">    20 01 14 - Hazardous - Acids</t>
  </si>
  <si>
    <t xml:space="preserve">    20 01 15 - Hazardous - Alkalines</t>
  </si>
  <si>
    <t xml:space="preserve">    20 01 17 - Hazardous - Photochemicals</t>
  </si>
  <si>
    <t xml:space="preserve">    20 01 19 - Hazardous - Pesticides</t>
  </si>
  <si>
    <t xml:space="preserve">    20 01 21 - Hazardous - Fluorescent tubes and other mercury-containing waste</t>
  </si>
  <si>
    <t xml:space="preserve">    20 01 23 - Hazardous - Discarded equipment containing chlorofluorocarbons</t>
  </si>
  <si>
    <t xml:space="preserve">    20 01 25 - Non-Hazardous - Edible oil and fat</t>
  </si>
  <si>
    <t xml:space="preserve">    20 01 26 - Hazardous - Oil and fat other than those mentioned in 20 01 25</t>
  </si>
  <si>
    <t xml:space="preserve">    20 01 27 - Hazardous - Paint, inks, adhesives and resins containing hazardous substances</t>
  </si>
  <si>
    <t xml:space="preserve">    20 01 28 - Non-Hazardous - Paint, inks, adhesives and resins other than those mentioned in 20 01 27</t>
  </si>
  <si>
    <t xml:space="preserve">    20 01 29 - Hazardous - Detergents containing hazardous substances</t>
  </si>
  <si>
    <t xml:space="preserve">    20 01 30 - Non-Hazardous - Detergents other than those mentioned in 20 01 29</t>
  </si>
  <si>
    <t xml:space="preserve">    20 01 31 - Hazardous - Cytotoxic and cytostatic medicines</t>
  </si>
  <si>
    <t xml:space="preserve">    20 01 32 - Non-Hazardous - Medicines other than those mentioned in 20 01 31</t>
  </si>
  <si>
    <t xml:space="preserve">    20 01 33 - Hazardous - Batteries and accumulators included in 16 06 01, 16 06 02 or 16 06 03 and unsorted batteries and accumulators containing these batteries</t>
  </si>
  <si>
    <t xml:space="preserve">    20 01 34 - Non-Hazardous - Batteries and accumulators other than those mentioned in 20 01 33</t>
  </si>
  <si>
    <t xml:space="preserve">    20 01 35 - Hazardous - Discarded electrical and electronic equipment other than those mentioned in 20 01 21 and 20 01 23 containing hazardous components (3)</t>
  </si>
  <si>
    <t xml:space="preserve">    20 01 36 - Non-Hazardous - Discarded electrical and electronic equipment other than those mentioned in 20 01 21, 20 01 23 and 20 01 35</t>
  </si>
  <si>
    <t xml:space="preserve">    20 01 37 - Hazardous - Wood containing hazardous substances</t>
  </si>
  <si>
    <t xml:space="preserve">    20 01 38 - Non-Hazardous - Wood other than that mentioned in 20 01 37</t>
  </si>
  <si>
    <t xml:space="preserve">    20 01 39 - Non-Hazardous - Plastics</t>
  </si>
  <si>
    <t xml:space="preserve">    20 01 40 - Non-Hazardous - Metals</t>
  </si>
  <si>
    <t xml:space="preserve">    20 01 41 - Non-Hazardous - Wastes from chimney sweeping</t>
  </si>
  <si>
    <t xml:space="preserve">    20 01 99 - Non-Hazardous - Other fractions not otherwise specified</t>
  </si>
  <si>
    <t xml:space="preserve">  20 02 - Garden and park wastes (including cemetery waste)</t>
  </si>
  <si>
    <t xml:space="preserve">    20 02 01 - Non-Hazardous - Biodegradable waste</t>
  </si>
  <si>
    <t xml:space="preserve">    20 02 02 - Non-Hazardous - Soil and stones</t>
  </si>
  <si>
    <t xml:space="preserve">    20 02 03 - Non-Hazardous - Other non-biodegradable wastes</t>
  </si>
  <si>
    <t xml:space="preserve">  20 03 - Other municipal wastes</t>
  </si>
  <si>
    <t xml:space="preserve">    20 03 01 - Non-Hazardous - Mixed municipal waste</t>
  </si>
  <si>
    <t xml:space="preserve">    20 03 02 - Non-Hazardous - Waste from markets</t>
  </si>
  <si>
    <t xml:space="preserve">    20 03 03 - Non-Hazardous - Street-cleaning residues</t>
  </si>
  <si>
    <t xml:space="preserve">    20 03 04 - Non-Hazardous - Septic tank sludge</t>
  </si>
  <si>
    <t xml:space="preserve">    20 03 06 - Non-Hazardous - Waste from sewage cleaning</t>
  </si>
  <si>
    <t xml:space="preserve">    20 03 07 - Non-Hazardous - Bulky waste</t>
  </si>
  <si>
    <t xml:space="preserve">    20 03 99 - Non-Hazardous - Municipal wastes not otherwise specified</t>
  </si>
  <si>
    <t>Entity Name</t>
  </si>
  <si>
    <t>Entity Identifier</t>
  </si>
  <si>
    <t>Entity Identifier Scheme</t>
  </si>
  <si>
    <t>Report currency</t>
  </si>
  <si>
    <t>template_label_entity_identifier_document_information</t>
  </si>
  <si>
    <t>template_label_entity_identifier_scheme_document_information</t>
  </si>
  <si>
    <t>template_label_report_currency_document_information</t>
  </si>
  <si>
    <t>template_label_entity_name_document_information</t>
  </si>
  <si>
    <t>Decimal separator</t>
  </si>
  <si>
    <t>template_label_decimal_separator_document_information</t>
  </si>
  <si>
    <t>Report period</t>
  </si>
  <si>
    <t>template_label_report_period_document_information</t>
  </si>
  <si>
    <t>Report generated</t>
  </si>
  <si>
    <t>template_label_report_generated</t>
  </si>
  <si>
    <t>All disclosures are related to the reporting period above unless specified otherwise.</t>
  </si>
  <si>
    <t>template_label_disclosures_related_to_reporting_period</t>
  </si>
  <si>
    <t>template_label_table_of_contents</t>
  </si>
  <si>
    <t>Reporting period:</t>
  </si>
  <si>
    <t>template_label_reporting_period</t>
  </si>
  <si>
    <t>This report contains {{ ns.fact_count }} XBRL facts ({{ facts | count }} unique facts).</t>
  </si>
  <si>
    <t>template_label_XBRL_facts_in_report</t>
  </si>
  <si>
    <t>OK</t>
  </si>
  <si>
    <t>template_label_ok</t>
  </si>
  <si>
    <t>template_label_solid_warning</t>
  </si>
  <si>
    <t>template_label_gaseous_warning</t>
  </si>
  <si>
    <t>template_label_liquid_warning</t>
  </si>
  <si>
    <t>Translation (according to the language selected in the first sheet)</t>
  </si>
  <si>
    <t>5-6</t>
  </si>
  <si>
    <t>7-8</t>
  </si>
  <si>
    <t>9-12</t>
  </si>
  <si>
    <t xml:space="preserve"> 9-12</t>
  </si>
  <si>
    <t>14-16</t>
  </si>
  <si>
    <t>18-25</t>
  </si>
  <si>
    <t>26-45</t>
  </si>
  <si>
    <t>152-158</t>
  </si>
  <si>
    <t>150-151</t>
  </si>
  <si>
    <t>160-163</t>
  </si>
  <si>
    <t>46-69</t>
  </si>
  <si>
    <t>70-73</t>
  </si>
  <si>
    <t>74-76</t>
  </si>
  <si>
    <t>91-93</t>
  </si>
  <si>
    <t>77-90</t>
  </si>
  <si>
    <t>95-107</t>
  </si>
  <si>
    <t>108-109</t>
  </si>
  <si>
    <t>164-166</t>
  </si>
  <si>
    <t>110-117</t>
  </si>
  <si>
    <t>119-126</t>
  </si>
  <si>
    <t>127-128</t>
  </si>
  <si>
    <t>129-136</t>
  </si>
  <si>
    <t>137-140</t>
  </si>
  <si>
    <t>167-169</t>
  </si>
  <si>
    <t>170-172</t>
  </si>
  <si>
    <t>141-144</t>
  </si>
  <si>
    <t>177(a)</t>
  </si>
  <si>
    <t>175-176</t>
  </si>
  <si>
    <t>177(b)</t>
  </si>
  <si>
    <t>177(c)</t>
  </si>
  <si>
    <t>177(d)</t>
  </si>
  <si>
    <t>178-180</t>
  </si>
  <si>
    <t>Size of balance sheet (total assets) in</t>
  </si>
  <si>
    <t>template_label_identifier_warning</t>
  </si>
  <si>
    <t>template_label_date_warning</t>
  </si>
  <si>
    <t>template_label_additional_rows_warning</t>
  </si>
  <si>
    <t>template_label_other_warning</t>
  </si>
  <si>
    <t>template_label_NACE_warning</t>
  </si>
  <si>
    <t>template_label_geolocalisation_warning</t>
  </si>
  <si>
    <t>template_label_energy_consumption_warning</t>
  </si>
  <si>
    <t>template_label_scope_3_categories_warning</t>
  </si>
  <si>
    <t>template_label_site_ID_value_inconsistency_warning</t>
  </si>
  <si>
    <t>template_label_type_of_waste_warning</t>
  </si>
  <si>
    <t>template_label_number_of_employees_warning</t>
  </si>
  <si>
    <t>template_label_health_and_safety_formula_warning</t>
  </si>
  <si>
    <t>Does the undertaking operate in more than one country?</t>
  </si>
  <si>
    <t>template_label_undertaking_operating_in_more_than_one_country</t>
  </si>
  <si>
    <t>https://xbrl.efrag.org/taxonomy/vsme/2025-07-30/vsme-all.xsd</t>
  </si>
  <si>
    <t>The purpose of this digital template is to illustrate how VSME reporting can be implemented in a digital template. The template reflects the VSME Recommendation as published by the European Commission on 30 July 2025. The template is accompanied by a digital VSME XBRL taxonomy, which represents the digital data model of the disclosures and is available on EFRAG's website. The VSME requires disclosure of comparative information on metrics (paragraph 12). This template enables reporting for one reporting period only. Therefore, it might be used for reporting in the first year only. It is expected that reporting solutions will enable the roll-forward of reporting periods, which would automatically provide the necessary comparative information.
This template can be used for data entry and validation. By using an XBRL Converter on EFRAG's website, it can be saved as an XBRL report, in a free and open data format. Excel-named ranges are used to extract the disclosures. Value cells that are empty and do not have any value (neither text nor a number) will not be considered as reported and will not be included in the XBRL report when using the Excel-to-XBRL converter.
A few drop-down selection menus in the VSME have more than 100 entries (e.g. the NACE codes under B1, the list of pollutants under B4, the list of wastes under B7). In order to search in the list, users can simply start typing search keywords in the cell.
If a security warning is shown, please "Enable Content" in order to allow automatic calculation of GPS coordinates for the list of sites under B1. No content other than the address entered will be sent to the internet and the contents shared with the provider can be found in the Nominatim Usage Policy (Geocoding Policy) and Privacy Policy.
All materials developed by the EFRAG Secretariat are released for free and as open source (MIT license), which will enable any stakeholder to further enhance them and integrate them into commercial solutions. However, respecting the license conditions, the reference to EFRAG must be mentioned by the providers of those commercial solutions. It's possible to consult the MIT License in the specific sheet.
If you wish to raise an issue with the VSME Digital Template or the Digital Template to XBRL Converter, please do so by creating an issue in the GitHub project.</t>
  </si>
  <si>
    <t>English - Official</t>
  </si>
  <si>
    <t>English - Official [en]</t>
  </si>
  <si>
    <t>do</t>
  </si>
  <si>
    <t>· diskriminacija</t>
  </si>
  <si>
    <t>Od</t>
  </si>
  <si>
    <t>Rok</t>
  </si>
  <si>
    <t>Adres</t>
  </si>
  <si>
    <t>Energia [MWh] = Massa [t] * [MWh/t]</t>
  </si>
  <si>
    <t>De</t>
  </si>
  <si>
    <t>a</t>
  </si>
  <si>
    <t>Nome</t>
  </si>
  <si>
    <t>INCOMPLETO</t>
  </si>
  <si>
    <t>COMPLETO</t>
  </si>
  <si>
    <t>Identificador de entidad</t>
  </si>
  <si>
    <t>Separador decimal</t>
  </si>
  <si>
    <t>Informe generado</t>
  </si>
  <si>
    <t>Versión:</t>
  </si>
  <si>
    <t>Fecha de publicación:</t>
  </si>
  <si>
    <t>Índice de color de fondo de celda:</t>
  </si>
  <si>
    <t>Módulo básico</t>
  </si>
  <si>
    <t>Módulo completo</t>
  </si>
  <si>
    <t>Indica que la entrada de datos es correcta y que la empresa puede proceder a la siguiente divulgación.</t>
  </si>
  <si>
    <t>No se puede introducir ningún valor en la celda.</t>
  </si>
  <si>
    <t>Información general</t>
  </si>
  <si>
    <t>Prácticas, políticas e iniciativas futuras para la transición hacia una economía más sostenible</t>
  </si>
  <si>
    <t>Consumo total de energía (en MWh)</t>
  </si>
  <si>
    <t>Desglose del consumo de energía (en MWh)</t>
  </si>
  <si>
    <t>Biodiversidad - Uso de la tierra</t>
  </si>
  <si>
    <t>Extracción de agua</t>
  </si>
  <si>
    <t>Consumo de agua</t>
  </si>
  <si>
    <t>Descripción de los principios de la economía circular</t>
  </si>
  <si>
    <t>Residuos generados</t>
  </si>
  <si>
    <t>Tipo de contrato</t>
  </si>
  <si>
    <t>Género</t>
  </si>
  <si>
    <t>País de empleo</t>
  </si>
  <si>
    <t>Tasa de rotación</t>
  </si>
  <si>
    <t>· C4 - Riesgos climáticos</t>
  </si>
  <si>
    <t>Exclusión de los índices de referencia de la UE</t>
  </si>
  <si>
    <t>Divulgaciones adicionales</t>
  </si>
  <si>
    <t>[Si procede, vinculado con B2]</t>
  </si>
  <si>
    <t>Nombre de la entidad informante</t>
  </si>
  <si>
    <t>Año de inicio</t>
  </si>
  <si>
    <t>Mes de inicio</t>
  </si>
  <si>
    <t>Día de inicio</t>
  </si>
  <si>
    <t>Año de finalización</t>
  </si>
  <si>
    <t>Mes de finalización</t>
  </si>
  <si>
    <t>Enlace al informe anterior que contiene divulgaciones que permanecen sin cambios</t>
  </si>
  <si>
    <t>Base para la presentación de informes (base consolidada o individual)</t>
  </si>
  <si>
    <t>Especificación de la forma jurídica de otra empresa</t>
  </si>
  <si>
    <t>Volumen de negocios en</t>
  </si>
  <si>
    <t>B1 - Lista de filiales</t>
  </si>
  <si>
    <t>Nombre</t>
  </si>
  <si>
    <t>¿Ha obtenido la empresa alguna certificación o etiqueta relacionada con la sostenibilidad?</t>
  </si>
  <si>
    <t>Dirección</t>
  </si>
  <si>
    <t>Código postal</t>
  </si>
  <si>
    <t>Ciudad</t>
  </si>
  <si>
    <t>País</t>
  </si>
  <si>
    <t>Coordenadas GPS (geolocalización)</t>
  </si>
  <si>
    <t>B2 – Prácticas, políticas e iniciativas futuras para la transición hacia una economía más sostenible</t>
  </si>
  <si>
    <t>Cambio climático</t>
  </si>
  <si>
    <t>Contaminación</t>
  </si>
  <si>
    <t>Economía circular</t>
  </si>
  <si>
    <t>Comunidades afectadas</t>
  </si>
  <si>
    <t>Consumidores y usuarios finales</t>
  </si>
  <si>
    <t>Conducta empresarial</t>
  </si>
  <si>
    <t>B2 - Información específica de la cooperativa</t>
  </si>
  <si>
    <t>B3 - Desglose del consumo de energía (en MWh)</t>
  </si>
  <si>
    <t>¿Ha obtenido la empresa la información necesaria para proporcionar un desglose del consumo de energía?</t>
  </si>
  <si>
    <t>Renovable</t>
  </si>
  <si>
    <t>No renovable</t>
  </si>
  <si>
    <t>Total renovable y no renovable</t>
  </si>
  <si>
    <t>Año objetivo</t>
  </si>
  <si>
    <t>Año (fecha)</t>
  </si>
  <si>
    <t>Emisiones brutas de GEI de alcance 2 basadas en la ubicación</t>
  </si>
  <si>
    <t>1. Bienes y servicios adquiridos</t>
  </si>
  <si>
    <t>2. Bienes de capital</t>
  </si>
  <si>
    <t>4. Transporte y distribución aguas arriba</t>
  </si>
  <si>
    <t>5. Residuos generados en las operaciones</t>
  </si>
  <si>
    <t>6. Viajes de negocios</t>
  </si>
  <si>
    <t>9. Transporte y distribución aguas abajo</t>
  </si>
  <si>
    <t>10. Procesamiento de productos vendidos</t>
  </si>
  <si>
    <t>12. Tratamiento al final de la vida útil de los productos vendidos</t>
  </si>
  <si>
    <t>13. Activos arrendados aguas abajo</t>
  </si>
  <si>
    <t>14. Franquicias</t>
  </si>
  <si>
    <t>15. Inversiones</t>
  </si>
  <si>
    <t>¿La empresa opera en sectores de alto impacto?</t>
  </si>
  <si>
    <t>Año</t>
  </si>
  <si>
    <t>Mes</t>
  </si>
  <si>
    <t>Día</t>
  </si>
  <si>
    <t>ID de fila</t>
  </si>
  <si>
    <t>Contaminante</t>
  </si>
  <si>
    <t>Área</t>
  </si>
  <si>
    <t>Uso total de la tierra</t>
  </si>
  <si>
    <t>Unidad de medida</t>
  </si>
  <si>
    <t>Residuos desviados para reciclar o reutilizar</t>
  </si>
  <si>
    <t>Cantidad total de residuos generados</t>
  </si>
  <si>
    <t>Total de residuos generados (masa)</t>
  </si>
  <si>
    <t>metros cúbicos (m³)</t>
  </si>
  <si>
    <t>Nombre del material clave</t>
  </si>
  <si>
    <t>Volumen de masa</t>
  </si>
  <si>
    <t>kilogramos (kg)</t>
  </si>
  <si>
    <t>C4 – Riesgos climáticos</t>
  </si>
  <si>
    <t>Horizontes temporales de los peligros relacionados con el clima y los eventos de transición identificados</t>
  </si>
  <si>
    <t>Contrato indefinido</t>
  </si>
  <si>
    <t>Contrato temporal</t>
  </si>
  <si>
    <t>Masculino</t>
  </si>
  <si>
    <t>Otro</t>
  </si>
  <si>
    <t>¿Opera la empresa en más de un país?</t>
  </si>
  <si>
    <t>Total de trabajadores temporales proporcionados por empresas dedicadas principalmente a actividades de empleo</t>
  </si>
  <si>
    <t>· trabajo infantil</t>
  </si>
  <si>
    <t>· trabajo forzoso</t>
  </si>
  <si>
    <t>· discriminación</t>
  </si>
  <si>
    <t>· prevención de accidentes</t>
  </si>
  <si>
    <t>¿La empresa obtiene ingresos de una de las actividades enumeradas a continuación?</t>
  </si>
  <si>
    <t>Importe monetario en</t>
  </si>
  <si>
    <t>Ingresos derivados del carbón</t>
  </si>
  <si>
    <t>Ingresos derivados del petróleo</t>
  </si>
  <si>
    <t>Ingresos derivados de la producción de productos químicos</t>
  </si>
  <si>
    <t>C8 – Exclusión de los índices de referencia de la UE</t>
  </si>
  <si>
    <t>Ninguna de las anteriores</t>
  </si>
  <si>
    <t>Ratio de diversidad de género en el órgano de gobierno</t>
  </si>
  <si>
    <t>CONVERTIDOR DE COMBUSTIBLE</t>
  </si>
  <si>
    <t>Tipo de combustible</t>
  </si>
  <si>
    <t>Estado renovable típico</t>
  </si>
  <si>
    <t>Energía calculada en MWh</t>
  </si>
  <si>
    <t>Notas adicionales:</t>
  </si>
  <si>
    <t>Consumo de energía por hora en MWh para combustibles líquidos:</t>
  </si>
  <si>
    <t>Masa [t] = Volumen [L] * Densidad [t/L]</t>
  </si>
  <si>
    <t>Energía [MWh] = Masa [t] * [MWh/t]</t>
  </si>
  <si>
    <t>Consumo de energía por hora en MWh para combustibles gaseosos:</t>
  </si>
  <si>
    <t>CONVERTIDOR DE UNIDADES DE MEDIDA</t>
  </si>
  <si>
    <t>Unidad de medida del convertidor NCV</t>
  </si>
  <si>
    <t>A continuación se especifican todas las conversiones de unidades de medida de cada tabla.</t>
  </si>
  <si>
    <t>INCONSISTENCIA DE VALOR</t>
  </si>
  <si>
    <t>z</t>
  </si>
  <si>
    <t>kilogramy (kg)</t>
  </si>
  <si>
    <t>Período do relatório</t>
  </si>
  <si>
    <t>Índice</t>
  </si>
  <si>
    <t>Período de reporte:</t>
  </si>
  <si>
    <t>Versão:</t>
  </si>
  <si>
    <t>Princípios Gerais</t>
  </si>
  <si>
    <t>Validação OK</t>
  </si>
  <si>
    <t>Nenhum valor pode ser inserido na célula.</t>
  </si>
  <si>
    <t>Práticas, políticas e iniciativas futuras para a transição para uma economia mais sustentável</t>
  </si>
  <si>
    <t>Divulgações Ambientais</t>
  </si>
  <si>
    <t>Intensidade das emissões de gases com efeito de estufa por volume de negócios</t>
  </si>
  <si>
    <t>Biodiversidade - Uso do solo</t>
  </si>
  <si>
    <t>Descrição dos princípios da economia circular</t>
  </si>
  <si>
    <t>País de emprego</t>
  </si>
  <si>
    <t>Taxa de rotatividade</t>
  </si>
  <si>
    <t>· C2 - Descrição das práticas, políticas e iniciativas futuras para a transição para uma economia mais sustentável</t>
  </si>
  <si>
    <t>Plano de transição para empresas que operam em setores de elevado impacto climático</t>
  </si>
  <si>
    <t>Exclusão dos índices de referência da UE</t>
  </si>
  <si>
    <t>· C9 - Rácio de diversidade de género no órgão de governação</t>
  </si>
  <si>
    <t>em</t>
  </si>
  <si>
    <t>[Se aplicável]</t>
  </si>
  <si>
    <t>Dia de início</t>
  </si>
  <si>
    <t>Data de início do período de reporte (aaaa-mm-dd)</t>
  </si>
  <si>
    <t>Mês final</t>
  </si>
  <si>
    <t>Dia final</t>
  </si>
  <si>
    <t>Volume de negócios em</t>
  </si>
  <si>
    <t>B1 - Lista de subsidiárias</t>
  </si>
  <si>
    <t>Cidade</t>
  </si>
  <si>
    <t>Coordenadas GPS (geolocalização)</t>
  </si>
  <si>
    <t>Poluição</t>
  </si>
  <si>
    <t>Biodiversidade e ecossistemas</t>
  </si>
  <si>
    <t>Economia circular</t>
  </si>
  <si>
    <t>Comunidades afetadas</t>
  </si>
  <si>
    <t>Consumidores e utilizadores finais</t>
  </si>
  <si>
    <t>B2 - Divulgações específicas da cooperativa</t>
  </si>
  <si>
    <t>Renovável</t>
  </si>
  <si>
    <t>Não renovável</t>
  </si>
  <si>
    <t>Total renovável e não renovável</t>
  </si>
  <si>
    <t>Ano (data)</t>
  </si>
  <si>
    <t>4. Transporte e Distribuição a Montante</t>
  </si>
  <si>
    <t>11. Uso de Produtos Vendidos</t>
  </si>
  <si>
    <t>15. Investimentos</t>
  </si>
  <si>
    <t>Ano</t>
  </si>
  <si>
    <t>Dia</t>
  </si>
  <si>
    <t>Esta divulgação já está disponível publicamente?</t>
  </si>
  <si>
    <t>ID da linha</t>
  </si>
  <si>
    <t>Poluente</t>
  </si>
  <si>
    <t>Emissão para a água</t>
  </si>
  <si>
    <t>Emissão para o solo</t>
  </si>
  <si>
    <t>Área (hectares ou m² com base na seleção acima)</t>
  </si>
  <si>
    <t>Sítio localizado numa zona sensível à biodiversidade</t>
  </si>
  <si>
    <t>Tipo de uso do solo</t>
  </si>
  <si>
    <t>Consumo total de água (m³)</t>
  </si>
  <si>
    <t>B7 - Descrição dos princípios da economia circular</t>
  </si>
  <si>
    <t>B7 - Resíduos gerados</t>
  </si>
  <si>
    <t>Unidade de medida</t>
  </si>
  <si>
    <t>Quantidade total de resíduos gerados</t>
  </si>
  <si>
    <t>quilogramas (kg)</t>
  </si>
  <si>
    <t>Outro</t>
  </si>
  <si>
    <t>País do contrato de trabalho</t>
  </si>
  <si>
    <t>A empresa opera em mais de um país?</t>
  </si>
  <si>
    <t>B10 – Mão-de-obra – Remuneração, negociação coletiva e formação</t>
  </si>
  <si>
    <t>Total de trabalhadores independentes sem pessoal que trabalham exclusivamente para a empresa</t>
  </si>
  <si>
    <t>· trabalho forçado</t>
  </si>
  <si>
    <t>· discriminação</t>
  </si>
  <si>
    <t>B11 – Condenações e multas por corrupção e suborno</t>
  </si>
  <si>
    <t>Montante monetário em</t>
  </si>
  <si>
    <t>Rácio de diversidade de género no órgão de governação</t>
  </si>
  <si>
    <t>CONVERSOR DE COMBUSTÍVEL</t>
  </si>
  <si>
    <t>Quantidade</t>
  </si>
  <si>
    <t>Estado da matéria</t>
  </si>
  <si>
    <t>Estado renovável típico</t>
  </si>
  <si>
    <t>Energia Total [MWh]</t>
  </si>
  <si>
    <t>Massa [t] = Volume [L] * Densidade [t/L]</t>
  </si>
  <si>
    <t>Unidade de medida do conversor NCV</t>
  </si>
  <si>
    <t>4. O resultado da conversão será exibido na célula D6.</t>
  </si>
  <si>
    <t>▪ Unidade de medida do conversor de massa:</t>
  </si>
  <si>
    <t>ERRO</t>
  </si>
  <si>
    <t>ERRO + INCONSISTÊNCIA DE VALOR</t>
  </si>
  <si>
    <t>URL INVÁLIDO</t>
  </si>
  <si>
    <t>Nazwa jednostki</t>
  </si>
  <si>
    <t>Identyfikator jednostki</t>
  </si>
  <si>
    <t>Okres sprawozdawczy</t>
  </si>
  <si>
    <t>Spis treści</t>
  </si>
  <si>
    <t>Data publikacji:</t>
  </si>
  <si>
    <t>Wybierz język wyświetlania szablonu:</t>
  </si>
  <si>
    <t>Zasady ogólne</t>
  </si>
  <si>
    <t>Moduł podstawowy</t>
  </si>
  <si>
    <t>Wskazuje, że ujawnienie pochodzi z modułu podstawowego VSME.</t>
  </si>
  <si>
    <t>Walidacja OK</t>
  </si>
  <si>
    <t>W komórce nie można wprowadzić żadnej wartości.</t>
  </si>
  <si>
    <t>Informacje ogólne</t>
  </si>
  <si>
    <t>Całkowite zużycie energii (w MWh)</t>
  </si>
  <si>
    <t>Podział zużycia energii (w MWh)</t>
  </si>
  <si>
    <t>Pobór wody</t>
  </si>
  <si>
    <t>Zużycie wody</t>
  </si>
  <si>
    <t>Rodzaj umowy</t>
  </si>
  <si>
    <t>Płeć</t>
  </si>
  <si>
    <t>Kraj zatrudnienia</t>
  </si>
  <si>
    <t>Wskaźnik rotacji</t>
  </si>
  <si>
    <t>Wykluczenie z unijnych wskaźników referencyjnych</t>
  </si>
  <si>
    <t>[Zawsze do zgłoszenia]</t>
  </si>
  <si>
    <t>[Może (opcjonalnie)]</t>
  </si>
  <si>
    <t>Może (opcjonalnie)</t>
  </si>
  <si>
    <t>kwota w</t>
  </si>
  <si>
    <t>Rok rozpoczęcia</t>
  </si>
  <si>
    <t>Data rozpoczęcia okresu sprawozdawczego (rrrr-mm-dd)</t>
  </si>
  <si>
    <t>Data zakończenia okresu sprawozdawczego (rrrr-mm-dd)</t>
  </si>
  <si>
    <t>Kod pocztowy</t>
  </si>
  <si>
    <t>Miasto</t>
  </si>
  <si>
    <t>Kraj</t>
  </si>
  <si>
    <t>B2 – Praktyki, polityki i przyszłe inicjatywy na rzecz przejścia na bardziej zrównoważoną gospodarkę</t>
  </si>
  <si>
    <t>Zanieczyszczenie</t>
  </si>
  <si>
    <t>Gospodarka o obiegu zamkniętym</t>
  </si>
  <si>
    <t>Konsumenci i użytkownicy końcowi</t>
  </si>
  <si>
    <t>B2 - Ujawnianie informacji na temat współpracy</t>
  </si>
  <si>
    <t>C2 – Opis praktyk, polityk i przyszłych inicjatyw na rzecz przejścia na bardziej zrównoważoną gospodarkę</t>
  </si>
  <si>
    <t>B3 - Całkowite zużycie energii (w MWh)</t>
  </si>
  <si>
    <t>Całkowite zużycie energii</t>
  </si>
  <si>
    <t>B3 - Podział zużycia energii (w MWh)</t>
  </si>
  <si>
    <t>Odnawialny</t>
  </si>
  <si>
    <t>Bieżący okres sprawozdawczy</t>
  </si>
  <si>
    <t>Rok bazowy</t>
  </si>
  <si>
    <t>Rok docelowy</t>
  </si>
  <si>
    <t>Rok (data)</t>
  </si>
  <si>
    <t>1. Zakupione towary i usługi</t>
  </si>
  <si>
    <t>2. Dobra inwestycyjne</t>
  </si>
  <si>
    <t>6. Podróże służbowe</t>
  </si>
  <si>
    <t>7. Dojazdy pracowników</t>
  </si>
  <si>
    <t>10. Przetwarzanie sprzedanych produktów</t>
  </si>
  <si>
    <t>Miesiąc</t>
  </si>
  <si>
    <t>Dzień</t>
  </si>
  <si>
    <t>B4 – Zanieczyszczenie powietrza, wody i gleby</t>
  </si>
  <si>
    <t>Identyfikator wiersza</t>
  </si>
  <si>
    <t>Emisja do wody</t>
  </si>
  <si>
    <t>Emisja do gleby</t>
  </si>
  <si>
    <t>Opis sposobu stosowania tych zasad</t>
  </si>
  <si>
    <t>B7 - Wytworzone odpady</t>
  </si>
  <si>
    <t>Jednostka miary</t>
  </si>
  <si>
    <t>Odpady kierowane do recyklingu lub ponownego użycia</t>
  </si>
  <si>
    <t>Nazwa kluczowego materiału</t>
  </si>
  <si>
    <t>Objętość masowa</t>
  </si>
  <si>
    <t>Umowa na czas nieokreślony</t>
  </si>
  <si>
    <t>Mężczyzna</t>
  </si>
  <si>
    <t>Kobieta</t>
  </si>
  <si>
    <t>Nie zgłoszono</t>
  </si>
  <si>
    <t>Liczba pracowników objętych układami zbiorowymi pracy</t>
  </si>
  <si>
    <t>Odsetek pracowników objętych układami zbiorowymi pracy [%]</t>
  </si>
  <si>
    <t>C8 – Przychody z niektórych rodzajów działalności</t>
  </si>
  <si>
    <t>Kwota pieniężna w</t>
  </si>
  <si>
    <t>KONWERTER PALIWA</t>
  </si>
  <si>
    <t>Rodzaj paliwa</t>
  </si>
  <si>
    <t>Stan skupienia</t>
  </si>
  <si>
    <t>Typowy stan odnawialny</t>
  </si>
  <si>
    <t>3. W komórce C9 wybierz Ilość zużytego paliwa</t>
  </si>
  <si>
    <t>4. W komórce D9 wyświetlany jest stan skupienia dla wybranego paliwa</t>
  </si>
  <si>
    <t>9. W komórce B31 wyświetlana jest całkowita energia nieodnawialna w megawatogodzinach</t>
  </si>
  <si>
    <t>10. Dalsze uwagi można znaleźć poniżej</t>
  </si>
  <si>
    <t>Dalsze uwagi:</t>
  </si>
  <si>
    <t>Masa [t] = Objętość [L] * Gęstość [t/L]</t>
  </si>
  <si>
    <t>Energia [MWh] = Masa [t] * [MWh/t]</t>
  </si>
  <si>
    <t>Zużycie energii na godzinę w MWh dla paliw gazowych:</t>
  </si>
  <si>
    <t>Jednostka miary zużycia energii na godzinę</t>
  </si>
  <si>
    <t>2. Następnie w komórce B6 można wprowadzić ilość masy.</t>
  </si>
  <si>
    <t>4. Wynik konwersji zostanie wyświetlony w komórce D6.</t>
  </si>
  <si>
    <t>BŁĄD</t>
  </si>
  <si>
    <t>NIESPÓJNOŚĆ WARTOŚCI</t>
  </si>
  <si>
    <t>BŁĄD + NIESPÓJNOŚĆ WARTOŚCI</t>
  </si>
  <si>
    <t>Ataskaitos valiuta</t>
  </si>
  <si>
    <t>Turinys</t>
  </si>
  <si>
    <t>Tvarumo ataskaita</t>
  </si>
  <si>
    <t>Langelio fono spalvos indeksas:</t>
  </si>
  <si>
    <t>Bendrieji principai</t>
  </si>
  <si>
    <t>Specifinė turinio tikrinimo būsena</t>
  </si>
  <si>
    <t>· Informacija apie ankstesnį ataskaitinį laikotarpį</t>
  </si>
  <si>
    <t>Vandens suvartojimas</t>
  </si>
  <si>
    <t>Žiedinės ekonomikos principų aprašymas</t>
  </si>
  <si>
    <t>Susidariusios atliekos</t>
  </si>
  <si>
    <t>Lytis</t>
  </si>
  <si>
    <t>Apyvartos rodiklis</t>
  </si>
  <si>
    <t>Pastraipos nuoroda</t>
  </si>
  <si>
    <t>į</t>
  </si>
  <si>
    <t>Kitos įmonės teisinės formos specifikacija</t>
  </si>
  <si>
    <t>Registruotas adresas</t>
  </si>
  <si>
    <t>Adresas</t>
  </si>
  <si>
    <t>Pašto kodas</t>
  </si>
  <si>
    <t>Klimato kaita</t>
  </si>
  <si>
    <t>Tarša</t>
  </si>
  <si>
    <t>Vandens ir jūrų ištekliai</t>
  </si>
  <si>
    <t>Biologinė įvairovė ir ekosistemos</t>
  </si>
  <si>
    <t>B2. Konkrečios kooperatyvų informacijos atskleidimas</t>
  </si>
  <si>
    <t>Su politika susijusio tikslo aprašymas</t>
  </si>
  <si>
    <t>Bendras energijos suvartojimas</t>
  </si>
  <si>
    <t>Tiksliniai metai</t>
  </si>
  <si>
    <t>Metai (data)</t>
  </si>
  <si>
    <t>6. Verslo kelionės</t>
  </si>
  <si>
    <t>14. Franšizės</t>
  </si>
  <si>
    <t>Mėnuo</t>
  </si>
  <si>
    <t>B4 – Oro, vandens ir dirvožemio tarša</t>
  </si>
  <si>
    <t>Ar šis atskleidimas jau yra viešai prieinamas?</t>
  </si>
  <si>
    <t>Eilutės ID</t>
  </si>
  <si>
    <t>B5 - Biologinė įvairovė - Žemės naudojimas</t>
  </si>
  <si>
    <t>Bendras žemės naudojimas</t>
  </si>
  <si>
    <t>Bendras vandens suvartojimas (m³)</t>
  </si>
  <si>
    <t>B7 - Žiedinės ekonomikos principų aprašymas</t>
  </si>
  <si>
    <t>Įmonė taiko žiedinės ekonomikos principus</t>
  </si>
  <si>
    <t>Atliekų rūšis</t>
  </si>
  <si>
    <t>Matavimo vienetas</t>
  </si>
  <si>
    <t>Atliekos, nukreiptos perdirbti arba pakartotinai naudoti</t>
  </si>
  <si>
    <t>kubiniai metrai (m³)</t>
  </si>
  <si>
    <t>kilogramai (kg)</t>
  </si>
  <si>
    <t>Neterminuota sutartis</t>
  </si>
  <si>
    <t>Ar įmonė veikia daugiau nei vienoje šalyje?</t>
  </si>
  <si>
    <t>Darbuotojų skaičius ataskaitinio laikotarpio pradžioje</t>
  </si>
  <si>
    <t>Darbuotojų skaičius ataskaitinio laikotarpio pabaigoje</t>
  </si>
  <si>
    <t>Darbuotojų kaitos rodiklis [%] ataskaitiniu laikotarpiu</t>
  </si>
  <si>
    <t>Mirčių dėl su darbu susijusių sužalojimų ir su darbu susijusių sveikatos sutrikimų skaičius</t>
  </si>
  <si>
    <t>Darbuotojų, kuriems taikomos kolektyvinės sutartys, skaičius</t>
  </si>
  <si>
    <t>Darbuotojų, kuriems taikomos kolektyvinės sutartys, procentinė dalis [%]</t>
  </si>
  <si>
    <t>Pajamos iš anglių</t>
  </si>
  <si>
    <t>C9 – Lyčių įvairovės santykis valdymo organe</t>
  </si>
  <si>
    <t>Moterų valdybos narių skaičius ataskaitinio laikotarpio pabaigoje</t>
  </si>
  <si>
    <t>Vyrų valdybos narių skaičius ataskaitinio laikotarpio pabaigoje</t>
  </si>
  <si>
    <t>Lyčių įvairovės santykis valdymo organe</t>
  </si>
  <si>
    <t>2. Langelyje B9 pasirinkite naudojamą matavimo vienetą</t>
  </si>
  <si>
    <t>Masė [t] = Tūris [L] * Tankis [t/L]</t>
  </si>
  <si>
    <t>Energijos suvartojimo per valandą matavimo vienetas</t>
  </si>
  <si>
    <t>KLAIDA</t>
  </si>
  <si>
    <t>Versija:</t>
  </si>
  <si>
    <t>Diena</t>
  </si>
  <si>
    <t>Ataskaitinis laikotarpis</t>
  </si>
  <si>
    <t>Į langelį negalima įvesti jokios reikšmės.</t>
  </si>
  <si>
    <t>Bendras energijos suvartojimas (MWh)</t>
  </si>
  <si>
    <t>iš</t>
  </si>
  <si>
    <t>Informacija apie ankstesnį ataskaitinį laikotarpį</t>
  </si>
  <si>
    <t>Darbuotojų skaičius</t>
  </si>
  <si>
    <t>Žiedinė ekonomika</t>
  </si>
  <si>
    <t>Vertės grandinės darbuotojai</t>
  </si>
  <si>
    <t>Vartotojai ir galutiniai naudotojai</t>
  </si>
  <si>
    <t>Metai</t>
  </si>
  <si>
    <t>Teršalas</t>
  </si>
  <si>
    <t>Žemės naudojimo tipas</t>
  </si>
  <si>
    <t>Bendras susidariusių atliekų kiekis</t>
  </si>
  <si>
    <t>· priverstinis darbas</t>
  </si>
  <si>
    <t>Bendra energija [MWh]</t>
  </si>
  <si>
    <t>Masė [t] = Tūris [m³] * Tankis [t/m³]</t>
  </si>
  <si>
    <t>Bendras susidariusių atliekų kiekis (tūris)</t>
  </si>
  <si>
    <t>Separator dziesiętny</t>
  </si>
  <si>
    <t>Indeks koloru tła komórki:</t>
  </si>
  <si>
    <t>Praktyki, polityki i przyszłe inicjatywy na rzecz przejścia na bardziej zrównoważoną gospodarkę</t>
  </si>
  <si>
    <t>Nazwa</t>
  </si>
  <si>
    <t>Adres siedziby</t>
  </si>
  <si>
    <t>14. Franczyzy</t>
  </si>
  <si>
    <t>15. Inwestycje</t>
  </si>
  <si>
    <t>Emisja do powietrza</t>
  </si>
  <si>
    <t>B6 - Zużycie wody</t>
  </si>
  <si>
    <t>Całkowite zużycie wody (m³)</t>
  </si>
  <si>
    <t>Umowa na czas określony</t>
  </si>
  <si>
    <t>Średni poziom godzinowego wynagrodzenia brutto pracowników płci męskiej</t>
  </si>
  <si>
    <t>Obliczona energia w MWh</t>
  </si>
  <si>
    <t>7. W komórce A28 wyświetlana jest całkowita energia w megawatogodzinach</t>
  </si>
  <si>
    <t>8. W komórce A31 wyświetlana jest całkowita energia odnawialna w megawatogodzinach</t>
  </si>
  <si>
    <t>Zużycie energii na godzinę w MWh dla paliw stałych:</t>
  </si>
  <si>
    <t>Masa [t] = Objętość [m³] * Gęstość [t/m³]</t>
  </si>
  <si>
    <t>Relatório gerado</t>
  </si>
  <si>
    <t>Data de publicação:</t>
  </si>
  <si>
    <t>Relatório de Sustentabilidade</t>
  </si>
  <si>
    <t>Modelo Digital VSME</t>
  </si>
  <si>
    <t>· B10 - Mão-de-obra – Remuneração, negociação coletiva e formação</t>
  </si>
  <si>
    <t>Consumo total de energia</t>
  </si>
  <si>
    <t>Ano base</t>
  </si>
  <si>
    <t>1. Bens e Serviços Adquiridos</t>
  </si>
  <si>
    <t>14. Franquias</t>
  </si>
  <si>
    <t>Mês</t>
  </si>
  <si>
    <t>Resíduos desviados para reciclagem ou reutilização</t>
  </si>
  <si>
    <t>· trabalho infantil</t>
  </si>
  <si>
    <t>Número total de condenações por violação das leis anticorrupção e antissuborno</t>
  </si>
  <si>
    <t>Tipo de combustível</t>
  </si>
  <si>
    <t>Massa [t] = Volume [m³] * Densidade [t/m³]</t>
  </si>
  <si>
    <t>Biodiversidad y ecosistemas</t>
  </si>
  <si>
    <t>Consumo total de agua (m³)</t>
  </si>
  <si>
    <t>B11 – Condenas y multas por corrupción y soborno</t>
  </si>
  <si>
    <t>Ingresos derivados del gas</t>
  </si>
  <si>
    <t>Consumo de energía por hora en MWh para combustibles sólidos:</t>
  </si>
  <si>
    <t>Masa [t] = Volumen [m³] * Densidad [t/m³]</t>
  </si>
  <si>
    <t>template_label_main_title_of_report_text</t>
  </si>
  <si>
    <t>template_label_subtitle_of_report_text</t>
  </si>
  <si>
    <t>template_label_title_of_report</t>
  </si>
  <si>
    <t>Pagrindinis ataskaitos pavadinimas</t>
  </si>
  <si>
    <t>Título principal do relatório</t>
  </si>
  <si>
    <t>Título principal del informe</t>
  </si>
  <si>
    <t>template_label_subtitle_of_report</t>
  </si>
  <si>
    <t>Subtítulo do relatório</t>
  </si>
  <si>
    <t>ℹ️ Liquid fuel: please select one unit of measurement among m³ and L</t>
  </si>
  <si>
    <t>ℹ️ Solid fuel: please select one unit of measurement among Gg, t, Kg and g</t>
  </si>
  <si>
    <t>ℹ️ Gaseous fuel: please select one unit of measurement among m³ and L</t>
  </si>
  <si>
    <t xml:space="preserve">ℹ️  The entity identifier is a unique ID, that will enable identifying the company that has reported the information. The VSME Standard does not require any specific identifier. An entity identifier is required for the digital reporting. </t>
  </si>
  <si>
    <t>ℹ️ If VALUE INCONSISTENCY message appears on the right, please ensure that the reporting period end date is greater than the reporting period start date.</t>
  </si>
  <si>
    <t>ℹ️  Lists can be expanded using the little [+] button on the left.  If the number of rows is not sufficient, those can be added by right clicking the second row and selecting "Insert row".</t>
  </si>
  <si>
    <t>ℹ️ When "other" is chosen as undertaking legal form please fill the row below</t>
  </si>
  <si>
    <t>ℹ️  Please select a NACE code rather than a category else an ERROR message will appear.</t>
  </si>
  <si>
    <t>ℹ️  Please be careful to separate each street number and house number using the slash symbol "/" and not the comma ","</t>
  </si>
  <si>
    <t xml:space="preserve">ℹ️  Please note that the formula present in this cell may be overwritten in case the undertaking wants to directly provide the value. </t>
  </si>
  <si>
    <t>ℹ️  Scope 3 categories according to the GHG protocol might help to calculate the total Scope 3 GHG emissions. In case the undertaking wants to, it can directly provide the Total Scope 3 GHG emissions in the respective cell.</t>
  </si>
  <si>
    <t>ℹ️  If a validation related to value inconsistency is displayed, please select a site ID that is different from one of those previously selected.</t>
  </si>
  <si>
    <t>ℹ️  Please select a Type of waste (Hazardous or Non-Hazardous) rather than a category else an ERROR message will appear.</t>
  </si>
  <si>
    <t xml:space="preserve">ℹ️  Please make sure that the total number of employees is the same as the one provided in the "General Information" sheet cell E55
</t>
  </si>
  <si>
    <t>ℹ️  The undertaking can modify the value in this cell as 2,000 hours is based on the assumption that one full-time worker works 2,000 hours per year. This figure may vary by country or sector, depending on national rules or collective bargaining agreements.</t>
  </si>
  <si>
    <t>ℹ️ Paliwo stałe: proszę wybrać jedną jednostkę miary spośród Gg, t, Kg i g</t>
  </si>
  <si>
    <t>ℹ️ Paliwo gazowe: proszę wybrać jedną jednostkę miary spośród m³ i L</t>
  </si>
  <si>
    <t>ℹ️ Combustível líquido: selecione uma unidade de medida entre m³ e L</t>
  </si>
  <si>
    <t>ℹ️ Combustible sólido: seleccione una unidad de medida entre Gg, t, Kg y g</t>
  </si>
  <si>
    <t>ℹ️ Combustible gaseoso: seleccione una unidad de medida entre m³ y L</t>
  </si>
  <si>
    <t>Schemat identyfikatora jednostki</t>
  </si>
  <si>
    <t xml:space="preserve">Waluta sprawozdania </t>
  </si>
  <si>
    <t>Wygenerowane sprawozdanie</t>
  </si>
  <si>
    <t xml:space="preserve">Wszystkie ujawnienia dotyczą powyższego okresu sprawozdawczego, chyba że wskazano inaczej. </t>
  </si>
  <si>
    <t xml:space="preserve">Wersja: </t>
  </si>
  <si>
    <t>Punkt wejścia do taksonomii:</t>
  </si>
  <si>
    <t>Główny tytuł sprawozdania</t>
  </si>
  <si>
    <t>Sprawozdanie w zakresie zrównoważonego rozwoju</t>
  </si>
  <si>
    <t>Podtytuł sprawozdania</t>
  </si>
  <si>
    <t>Elektroniczny szablon VSME</t>
  </si>
  <si>
    <t>Celem tego elektronicznego szablonu jest zilustrowanie sposobu, w jaki sprawozdawczość VSME może być realizowana w elektronicznym szablonie. Szablon odzwierciedla zalecenie VSME opublikowane przez Komisję Europejską w dniu 30 lipca 2025 r. Szablonowi towarzyszy elektroniczna taksonomia XBRL VSME, która reprezentuje elektroniczny model danych ujawnień i jest dostępna na stronie internetowej EFRAG. VSME wymaga ujawniania informacji porównawczych dotyczących metryk (ustęp 12). Ten szablon umożliwia sprawozdawczość tylko za jeden okres sprawozdawczy. Dlatego może być używany wyłącznie do sprawozdawczości w pierwszym roku. Przewiduje się, że rozwiązania sprawozdawcze umożliwią kontynuację kolejnych okresów sprawozdawczych, automatycznie dostarczając niezbędne informacje porównawcze. Ten szablon może być używany do wprowadzania danych i ich walidacji. Korzystając z konwertera XBRL na stronie EFRAG, można go zapisać jako sprawozdanie XBRL w otwartym i bezpłatnym formacie danych. Zakresy danych określone w Excelu są używane do wyodrębniania ujawnień. Komórki, które są puste i nie zawierają żadnej wartości (ani tekstu, ani liczby), nie będą uważane jako zawierające ujawnienie i nie zostaną uwzględnione w raporcie XBRL podczas korzystania z konwertera Excel-na-XBRL. Kilka menu rozwijanych w VSME zawiera ponad 100 wpisów (np. kody NACE w B1, lista zanieczyszczeń w B4, lista odpadów w B7). Aby wyszukać na liście, użytkownicy mogą po prostu zacząć wpisywać słowa kluczowe w komórce. Jeśli pojawi się ostrzeżenie o zabezpieczeniach, proszę "Włączyć zawartość", aby umożliwić automatyczne obliczanie współrzędnych GPS dla listy miejsc w B1. Żadna wartość poza wprowadzonym adresem nie będzie wysyłana do internetu, a treści udostępnione dostawcy można znaleźć w Polityce użytkowania Nominatim (Polityka geokodowania) i Polityce prywatności. Wszystkie materiały opracowane przez Sekretariat EFRAG są udostępniane bezpłatnie i jako otwarte oprogramowanie (licencja MIT), co umożliwia każdej zainteresowanej stronie ich dalsze ulepszanie i integrację z rozwiązaniami komercyjnymi. Jednakże, z poszanowaniem warunków licencji, dostawcy tych rozwiązań komercyjnych muszą podać odniesienie do EFRAG. Można zapoznać się z licencją MIT w odpowiednim arkuszu. Jeśli chcą Państwo zgłosić problem dotyczący elektronicznego szablonu VSME lub elektronicznego konwertera szablonu do XBRL, prosimy o utworzenie zgłoszenia w projekcie GitHub.</t>
  </si>
  <si>
    <t>Jak korzystać:</t>
  </si>
  <si>
    <t>0. Dostarcz informacje, które są obowiązkowe do wygenerowania sprawozdania VSME i XBRL.</t>
  </si>
  <si>
    <t>1. Wpisz ujawnienia na czterech arkuszach (Informacje ogólne, Ujawnienia środowiskowe, Ujawnienia społeczne, Ujawnienia dotyczące ładu korporacyjnego) w białych komórkach obramowanych czarną ramką. Nie wpisuj informacji poza tymi komórkami. Wyszukiwanie w rozwijanych listach można przeprowadzać, wpisując tekst w komórkę. Wskazówki (komunikaty wejściowe) są wyświetlane w kilku komórkach po ich zaznaczeniu.</t>
  </si>
  <si>
    <t>2. Znajdź więcej informacji na temat aktualnych wymogów sprawozdawczych wynikająch z VSME oraz powiązanych wytycznych dotyczących danej komórki. Dodatkowe lub specyficzne dla jednostki ujawnienia można zamieścić w każdym polu tekstowym na końcu każdego arkusza.</t>
  </si>
  <si>
    <t>3. Dla tabel mogących być uzupełnianych o dodatkowe wiersze, takich jak lista jednostek zależnych/ lokalizacji, proszę rozwinąć grupy, klikając ikonę plusa [+] po lewej stronie. Jeśli potrzebne są dodatkowe wiersze, można je dodać, wstawiając je między pierwszy a ostatnim wierszem. Identyfikatory wierszy w otwartych tabelach muszą pozostać unikalne dla każdej tabeli.</t>
  </si>
  <si>
    <t>4. Zweryfikuj wprowadzone dane, sprawdzając status walidacji. Sprawozdanie jest uznawane za niekompletne lub błędne, jeśli walidacja nie powiedzie się, co może skutkować nieprawidłowym sprawozdaniem XBRL.</t>
  </si>
  <si>
    <t xml:space="preserve">6. Jednostka może również umieścić sprawozdanie w publicznych repozytoriach lub na stronie nternetowej. </t>
  </si>
  <si>
    <t>Wskazuje, że ujawnienie informacji pochodzi z ogólnych zasad VSME.</t>
  </si>
  <si>
    <t>Moduł kompleksowy</t>
  </si>
  <si>
    <t>Wskazuje, że ujawnienie pochodzi z modułu kompleksowego VSME.</t>
  </si>
  <si>
    <t>Wskazuje, że komórka jest obliczana automatycznie i nie jest wymagane ręczne wprowadzanie danych.</t>
  </si>
  <si>
    <t xml:space="preserve">Wskazuje, że punkt danych (często warunek) nie będzie uwzględniany w sprawozdaniu VSME oraz elektronicznym sprawozdaniu XBRL. Te komórki są przewidziane, aby ułatwić wypełnienie, ponieważ albo inicjują zastosowanie ujawnienia, albo umożliwiają automatyczne obliczenie ujawnienia. Jeśli żółte komórki nie są wykorzystywane do obliczenia wartości, ujawniana suma może zostać wprowadzona ręcznie, nadpisując formułę. </t>
  </si>
  <si>
    <t>Wskazuje, że nie jest wymagane wprowadzanie danych, chyba że w samym ujawnieniu wybrane zostaną określone formuły logiczne. Gdy jedna z tych formuł logicznych zostanie wybrana, to pole zmieni kolor na biały.</t>
  </si>
  <si>
    <t>Walidacja BRAK WARTOŚCI/ BŁĄD/ NIESPÓJNOŚĆ WARTOŚCI/ NIEPRAWIDŁOWY ADRES URL</t>
  </si>
  <si>
    <t>Wskazuje, że wpisane dane są niepoprawne pod względem formatu lub brakuje pewnych informacji, aby prawidłowo sporządzić sprawozdanie dotyczący ujawnienia.</t>
  </si>
  <si>
    <t>Wskazuje, że wprowadzenie danych jest poprawne, a jednostka może przejść do kolejnego ujawnienia.</t>
  </si>
  <si>
    <t>Listy można rozwijać, używając przycisku plus [+] po lewej stronie. Jeśli liczba wierszy jest niewystarczająca, można dodać dodatkowe wiersze, klikając prawym przyciskiem myszy drugi wiersz i wybierając "Wstaw wiersz".</t>
  </si>
  <si>
    <t>EFRAG jest finansowany przez Unię Europejską w ramach Programu Jednolitego Rynku, w którym uczestniczą kraje EOG-EFTA (Norwegia, Islandia i Liechtenstein), a także Kosowo. Jakiekolwiek wyrażone opinie są jednak wyłącznie opiniami autora(ów) i niekoniecznie odzwierciedlają stanowisko Unii Europejskiej, Komisji Europejskiej ani krajów uczestniczących w Programie Jednolitego Rynku. Ani Unia Europejska, ani Komisja Europejska, ani kraje uczestniczące w Programie Jednolitego Rynku nie mogą być za nie pociągane do odpowiedzialności. © 2025 EFRAG Wszelkie prawa zastrzeżone.</t>
  </si>
  <si>
    <t>Prawa do powielania i wykorzystywania są ściśle ograniczone. W celu uzyskania dalszych informacji prosimy o kontakt pod adresem efragsecretariat@efrag.org.</t>
  </si>
  <si>
    <t>Ogólny status walidacji</t>
  </si>
  <si>
    <t>Grupowanie treści jest zgodne ze strukturą szablonu</t>
  </si>
  <si>
    <t>Status walidacji konkretnej treści</t>
  </si>
  <si>
    <t>Informacje o sprawozdaniu niezbędne dla XBRL</t>
  </si>
  <si>
    <t>Informacje o poprzednim okresie sprawozdawczym</t>
  </si>
  <si>
    <t>B1 – Podstawa sporządzenia</t>
  </si>
  <si>
    <t>Podstawa sporządzenia i inne ogólne informacje jednostce</t>
  </si>
  <si>
    <t>Lista jednostek zależnych</t>
  </si>
  <si>
    <t>Ujawnienie certyfikatów lub oznaczeń związanych ze zrównoważonym rozwojem</t>
  </si>
  <si>
    <t>Lista lokalizacji</t>
  </si>
  <si>
    <t>Ujawnienia specyficzne dla spółdzielni</t>
  </si>
  <si>
    <t>Ujawnienia środowiskowe</t>
  </si>
  <si>
    <t>B3 – Energia i emisje gazów cieplarnianych</t>
  </si>
  <si>
    <t>Szacunkowa emisja gazów cieplarnianych z uwzględnieniem wymogów GHG Protocol Corporate Standard w wersji z 2004 r. (w tCO2e)</t>
  </si>
  <si>
    <t>Intensywność emisji gazów cieplarnianych na jednostkę obrotu</t>
  </si>
  <si>
    <t>B5 – Bioróżnorodność</t>
  </si>
  <si>
    <t>Lokalizacje na obszarach wrażliwych pod względem bioróżnorodności</t>
  </si>
  <si>
    <t>Bioróżnorodność - użytkowanie gruntów</t>
  </si>
  <si>
    <t>B6 – Woda</t>
  </si>
  <si>
    <t>B7 – Wykorzystanie zasobów, gospodarka o obiegu zamkniętym i gospodarowanie odpadami</t>
  </si>
  <si>
    <t>Odpady wytworzone</t>
  </si>
  <si>
    <t>Roczny przepływ masowy istotnych wykorzystywanych materiałów</t>
  </si>
  <si>
    <t>Ujawnienia społeczne</t>
  </si>
  <si>
    <t>B8 – Zasoby pracownicze – Charakterystyka ogólna</t>
  </si>
  <si>
    <t>B9 - Zasoby pracownicze – Bezpieczeństwo i higiena pracy</t>
  </si>
  <si>
    <t>B10 – Zasoby pracownicze – wynagrodzenie, rokowania zbiorowe i szkolenia</t>
  </si>
  <si>
    <t>Ujawnienia odnoszące się do ładu korporacyjnego</t>
  </si>
  <si>
    <t>B11 – Wyroki skazujące i grzywny za naruszenie przepisów antykorupcyjnych i przepisów w sprawie zwalczania przekupstwa</t>
  </si>
  <si>
    <t>C1 – Strategia: model biznesowy i zrównoważony rozwój – powiązane inicjatywy</t>
  </si>
  <si>
    <t>C3 – Cele redukcji emisji gazów cieplarnianych i transformacja klimatyczna</t>
  </si>
  <si>
    <t>Cele redukcji emisji gazów cieplarnianych (w tCO2e)</t>
  </si>
  <si>
    <t>Lista głównych działań, które jednostka zamierza wdrożyć, aby osiągnąć swoje cele</t>
  </si>
  <si>
    <t>Plan transformacji dla jednostek prowadzących działalność w sektorach o znacznym oddziaływaniu na klimat</t>
  </si>
  <si>
    <t>C4 – Ryzyka związane z klimatem</t>
  </si>
  <si>
    <t>C5 – Dodatkowa (ogólna) charakterystyka pracowników</t>
  </si>
  <si>
    <t>C6 – Dodatkowe informacje dotyczące własnych zasobów pracowniczych – polityki i procesy dotyczące praw człowieka</t>
  </si>
  <si>
    <t>C7 – Poważne incydenty dotyczące praw człowieka</t>
  </si>
  <si>
    <t>C8 – Przychody z niektórych rodzajów działalności i wykluczenie z unijnych wskaźników referencyjnych</t>
  </si>
  <si>
    <t>Przychody z niektórych rodzajów działalności</t>
  </si>
  <si>
    <t>C9 - Wskaźnik zróżnicowania organu zarządzającego pod względem płci</t>
  </si>
  <si>
    <t>Dodatkowe ujawnienia</t>
  </si>
  <si>
    <t>Ujawnienie innych informacji ogólnych i/lub specyficznych dla jednostki dotyczących okresu sprawozdawczego</t>
  </si>
  <si>
    <t>Ujawnienie innych informacji środowiskowych i/lub informacji środowiskowych specyficznych dla jednostki</t>
  </si>
  <si>
    <t>Ujawnienie innych informacji społecznych i/lub informacji społecznych specyficznych dla jednostki</t>
  </si>
  <si>
    <t>Ujawnienie innych informacji odnoszących się do ładu korporacyjnego i/lub informacji odnoszących się do ładu korporacyjnego specyficznych dla jednostki</t>
  </si>
  <si>
    <t>Odniesienie do paragrafu</t>
  </si>
  <si>
    <t>Odniesienie do wytycznych w paragrafie</t>
  </si>
  <si>
    <t>w</t>
  </si>
  <si>
    <t>[Jeśli dotyczy]</t>
  </si>
  <si>
    <t>[Zawsze do zgłoszenia + Jeśli dotyczy]</t>
  </si>
  <si>
    <t>[Jeśli dotyczy, powiązane z B2]</t>
  </si>
  <si>
    <t>Informacje dotyczące sprawozdania niezbędne dla XBRL</t>
  </si>
  <si>
    <t>Nazwa jednostki sporządzającej sprawozdanie</t>
  </si>
  <si>
    <t>Identyfikator jednostki sporządzającej sprawozdanie (wybierz i określ po prawej)</t>
  </si>
  <si>
    <t>Waluta wartości pieniężnych w sprawozdaniu</t>
  </si>
  <si>
    <t>Miesiąc rozpoczęcia</t>
  </si>
  <si>
    <t>Dzień rozpoczęcia</t>
  </si>
  <si>
    <t>Rok zakończenia</t>
  </si>
  <si>
    <t>Miesiąc zakończenia</t>
  </si>
  <si>
    <t>Dzień zakończenia</t>
  </si>
  <si>
    <t>Informacje dotyczące poprzedniego okresu sprawozdawczego</t>
  </si>
  <si>
    <t>Niniejsze sprawozdanie zawiera ujawnienia z poprzedniego okresu sprawozdawczego, które pozostają niezmienione</t>
  </si>
  <si>
    <t>Lista ujawnień, dla których nie zgłoszono zmian w porównaniu z poprzednim okresem sprawozdawczym</t>
  </si>
  <si>
    <t>Odnośnik do poprzedniego sprawozdania zawierającego ujawnienia, które pozostają niezmienione</t>
  </si>
  <si>
    <t>B1 – Podstawa sporządzenia i ogólne informacje o jednostce</t>
  </si>
  <si>
    <t>Podstawa sporządzenia (tylko moduł podstawowy lub moduł podstawowy i kompleksowy)</t>
  </si>
  <si>
    <t>Lista ujawnień pominiętych uznanych za informacje zastrzeżone lub wrażliwe</t>
  </si>
  <si>
    <t>Podstawa sprawozdawczości (w ujęciu skonsolidowanym lub jednostkowym)</t>
  </si>
  <si>
    <t>Forma prawna jednostki</t>
  </si>
  <si>
    <t>Inna specyfikacja formy prawnej jednostki</t>
  </si>
  <si>
    <t>Kod(y) klasyfikacji sektorowej NACE</t>
  </si>
  <si>
    <t>Wielkość bilansu (aktywa ogółem) w</t>
  </si>
  <si>
    <t xml:space="preserve">Obrót w </t>
  </si>
  <si>
    <t>Liczba pracowników</t>
  </si>
  <si>
    <t>Metodologia liczenia pracowników (na koniec okresu sprawozdawczego lub jako średnia w trakcie okresu sprawozdawczego)</t>
  </si>
  <si>
    <t>Metodologia liczenia pracowników (liczba zatrudnionych lubliczba ekwiwalentów pełnego czasu pracy)</t>
  </si>
  <si>
    <t>Kraj, w którym jednostka prowadzi główną działalność i w którym są zlokalizowane jej znaczące aktywa</t>
  </si>
  <si>
    <t>B1 – Lista jednostek zależnych</t>
  </si>
  <si>
    <t>B1 - Ujawnienie certyfikatów lub oznaczeń związanych ze zrównoważonym rozwojem</t>
  </si>
  <si>
    <t>Czy jednostka uzyskała jakikolwiek certyfikat lub oznaczenie związane ze zrównoważonym rozwojem?</t>
  </si>
  <si>
    <t>Opis certyfikatu lub oznaczenia związanego ze zrównoważonym rozwojem, w tym, w stosownych przypadkach, wystawców certyfikatu lub oznaczenia, datę i wynik oceny</t>
  </si>
  <si>
    <t>B1 - Lista lokalizacji</t>
  </si>
  <si>
    <t>Współrzędne GPS (położenie geograficzne)</t>
  </si>
  <si>
    <t xml:space="preserve">Automatyczna geolokalizacja: włączenie automatycznej geolokalizacji OpenStreetMaps za pomocą pola wyboru poniżej oznacza, że jednostka oświadcza, że jest w pełni świadoma i akceptuje Politykę użytkowania Nominatim oraz Politykę prywatności.
OpenStreetMap® to otwarte dane licencjonowane na podstawie Open Data Commons Open Database License (ODbL) przez OpenStreetMap Foundation (OSMF). Wszystkie dane należą do OpenStreetMap® i są jego własnością. </t>
  </si>
  <si>
    <t>Czy jednostka wprowadziła konkretne praktyki, polityki i/lub przyszłe inicjatywy na rzecz przejścia na bardziej zrównoważoną gospodarkę?</t>
  </si>
  <si>
    <t>Kwestie zrównoważonego rozwoju uwzględnione w praktykach, politykach i/lub przyszłych inicjatywach wprowadzonych przez jednostkę</t>
  </si>
  <si>
    <t>Jednostka posiada praktykę, politykę i/lub przyszłą inicjatywę, która jest publicznie dostępna</t>
  </si>
  <si>
    <t>Jednostka wyznaczyła cel związany z polityką</t>
  </si>
  <si>
    <t>Zmiana klimatu</t>
  </si>
  <si>
    <t>Woda i zasoby morskie</t>
  </si>
  <si>
    <t>Bioróżnorodność i ekosystemy</t>
  </si>
  <si>
    <t>Własne zasoby pracownicze</t>
  </si>
  <si>
    <t>Osoby wykonujące pracę w łańcuchu wartości</t>
  </si>
  <si>
    <t>Dotknięte społeczności</t>
  </si>
  <si>
    <t>Postępowanie w biznesie</t>
  </si>
  <si>
    <t>Efektywny udział pracowników, użytkowników lub innych zainteresowanych stron lub społeczności w ładzie korporacyjnym</t>
  </si>
  <si>
    <t>Inwestycje finansowe w kapitał lub aktywa podmiotów gospodarki społecznej, o których mowa w zaleceniu Rady z dnia 29 września 2023 r. (z wyłączeniem darowizn i składek)</t>
  </si>
  <si>
    <t>Wszelkie ograniczenia w podziale zysków związane z wzajemnym charakterem lub specyfiką działalności polegającej na świadczeniu usług świadczonych w ogólnym interesie gospodarczym (UOIG).</t>
  </si>
  <si>
    <t>Opis polityki, praktyki i/lub przyszłej inicjatywy na rzecz bardziej zrównoważonej przyszłości (jeśli praktyka, polityka lub przyszła inicjatywa obejmuje dostawców lub klientów, należy to zaznaczyć)</t>
  </si>
  <si>
    <t>Opis celu związanego z polityką</t>
  </si>
  <si>
    <t>Najwyższy szczebel w jednostce, który jest odpowiedzialny za wdrożenie polityk, jeśli został określony przez jednostkę</t>
  </si>
  <si>
    <t>Strategia: model biznesowy i zrównoważony rozwój – powiązane inicjatywy</t>
  </si>
  <si>
    <t>Opis znaczących grup oferowanych produktów i/lub usług</t>
  </si>
  <si>
    <t>Opis istotnych rynków, na których jednostka prowadzi działalność (np. B2B, handel hurtowy, detaliczny, kraje)</t>
  </si>
  <si>
    <t>Opis głównych relacji biznesowych (np. kluczowi dostawcy, klienci, kanały dystrybucji)</t>
  </si>
  <si>
    <t>Czy strategia zawiera kluczowe elementy, które odnoszą się do kwestii związanych ze zrównoważonym rozwojem lub mają na nie wpływ?</t>
  </si>
  <si>
    <t>Opis kluczowych elementów, które odnoszą się do kwestii związanych ze zrównoważonym rozwojem lub mają na nie wpływ</t>
  </si>
  <si>
    <t>Czy jednostka uzyskała niezbędne informacje pozwalające na przedstawienie podziału zużycia energii?</t>
  </si>
  <si>
    <t>Nieodnawialny</t>
  </si>
  <si>
    <t>Całkowite odnawialne i nieodnawialne</t>
  </si>
  <si>
    <t>Energia elektryczna (według danych zawartych w rachunkach za media)</t>
  </si>
  <si>
    <t>Samodzielnie produkowana energia elektryczna</t>
  </si>
  <si>
    <t>Paliwa (zobacz Konwerter Paliw na arkuszu Paliwa)</t>
  </si>
  <si>
    <t>B3 – Szacunkowa emisja gazów cieplarnianych z uwzględnieniem wymogów GHG Protocol Corporate Standard w wersji z 2004 r. (w tCO2e)</t>
  </si>
  <si>
    <t>C3 – Cele redukcji emisji gazów cieplarnianych (w tCO2e)</t>
  </si>
  <si>
    <t>Czy jednostka ustanowiła cele redukcji emisji gazów cieplarnianych?</t>
  </si>
  <si>
    <t>Procentowa redukcja względem roku bazowego</t>
  </si>
  <si>
    <t>Emisje brutto gazów cieplarnianych zakresu 1 (GHG)</t>
  </si>
  <si>
    <t>Emisje brutto gazów cieplarnianych zakresu 2 według metody opartej na lokalizacji</t>
  </si>
  <si>
    <t>Emisje brutto gazów cieplarnianych zakresu 2 według metody opartej na rynku</t>
  </si>
  <si>
    <t>Całkowite emisje gazów cieplarnianych zakresu 1 i zakresu 2 (według metody opartej na lokalizacji)</t>
  </si>
  <si>
    <t>Całkowite emisje gazów cieplarnianych zakresu 1 i zakresu 2 (według metody opartej na rynku)</t>
  </si>
  <si>
    <t>Czy jednostka ujawnia informacje specyficzne dla jednostki na temat emisji z zakresie 3 (w tCO2e)?</t>
  </si>
  <si>
    <t>3. Działalność związana z paliwami i energią (niezawarta w zakresie 1 i zakresie 2)</t>
  </si>
  <si>
    <t>4. Transport i dystrybucja na wyższym szczeblu łańcucha dostaw</t>
  </si>
  <si>
    <t>5. Odpady powstałe w trakcie działalności operacyjnej</t>
  </si>
  <si>
    <t>8. Dzierżawione aktywa na wyższym szczeblu łańcucha wartości</t>
  </si>
  <si>
    <t>9. Transport i dystrybucja na niższym szczeblu łańcucha wartości</t>
  </si>
  <si>
    <t>11. Wykorzystanie sprzedanych produktów</t>
  </si>
  <si>
    <t>12. Wycofanie z eksploatacji sprzedanych produktów</t>
  </si>
  <si>
    <t>13. Aktywa dzierżawione na niższym szczeblu łańcucha wartości</t>
  </si>
  <si>
    <t>Całkowite emisje gazów cieplarnianych zakresu 3</t>
  </si>
  <si>
    <t>Całkowite emisje gazów cieplarnianych zakresu 1, zakresu 2 i zakresu 3 (według metody opartej na lokalizacji)</t>
  </si>
  <si>
    <t>Całkowite emisje gazów cieplarnianych zakresu 1, zakresu 2 i zakresu 3 (według metody opartej na rynku)</t>
  </si>
  <si>
    <t>C3 - wykaz głównych działań, które jednostka zamierza wdrożyć, aby osiągnąć swoje cele</t>
  </si>
  <si>
    <t>C3 – Plan transformacji dla jednostek prowadzących działalność w sektorach o znacznym oddziaływaniu na klimat</t>
  </si>
  <si>
    <t>Czy jednostka prowadzi działalność w sektorach o znacznym oddziaływaniu na klimat?</t>
  </si>
  <si>
    <t>Status wdrożenia planu transformacji w związku z łagodzeniem zmian klimatu</t>
  </si>
  <si>
    <t>Opis planu transformacji na rzecz łagodzenia zmian klimatu wraz z wyjaśnieniem, w jaki sposób przyczynia się on do redukcji emisji gazów cieplarnianych</t>
  </si>
  <si>
    <t>Data przewidywanego przyjęcia planu transformacji dla jednostki, która jeszcze nie przyjęła planu transformacji</t>
  </si>
  <si>
    <t>B3 - Intensywność emisji gazów cieplarnianych na jednostkę obrotu (w tCO2e)</t>
  </si>
  <si>
    <t>Intensywność emisji gazów cieplarnianych z zakresu 1 i zakresu 2 (według metody opartej na lokalizacji)</t>
  </si>
  <si>
    <t>Intensywność emisji gazów cieplarnianych z zakresu 1 i zakresu 2 (według metody opartej na rynku)</t>
  </si>
  <si>
    <t>Całkowita intensywność emisji gazów cieplarnianych z zakresu 1 i zakresu 2 (według metody opartej na lokalizacji)</t>
  </si>
  <si>
    <t>Całkowita intensywność emisji gazów cieplarnianych zakresu 1, zakresu 2 i zakresu 3 (według metody opartej na rynku)</t>
  </si>
  <si>
    <t>Czy jednostka jest już zobowiązana przepisami prawa lub innymi krajowymi regulacjami do zgłaszania właściwym organom emisji zanieczyszczeń lub czy zgłasza je dobrowolnie zgodnie z systemem zarządzania środowiskowego?</t>
  </si>
  <si>
    <t>Czy to ujawnienie jest już publicznie dostępne?</t>
  </si>
  <si>
    <t>Proszę podać odpowiedni odnośnik URL lub hiperłącze do miejsca, w którym informacje te są podane</t>
  </si>
  <si>
    <t>Proszę wybrać jednostkę używaną do sprawozdania ilości (tj. kg lub tona)</t>
  </si>
  <si>
    <t>Czynnik zanieczyszczający</t>
  </si>
  <si>
    <t>B5 – Lokalizacje położone na obszarach wrażliwych pod względem bioróżnorodności</t>
  </si>
  <si>
    <t>Czy jednostka posiada lokalizacje znajdujące się na obszarach wrażliwych pod względem bioróżnorodności lub w ich pobliżu?</t>
  </si>
  <si>
    <t>Proszę wybrać jednostkę używaną do sprawozdania powierzchni (tj. hektary lub m²):</t>
  </si>
  <si>
    <t>Identyfikator powiązanej lokalizacji (wybierz identyfikator z lokalizacji zgłoszonej w B1)</t>
  </si>
  <si>
    <t>Lokalizacja w pobliżu obszarów wrażliwych pod względem bioróżnorodności – automatycznie wypełniona z B1</t>
  </si>
  <si>
    <t>Obszar (w hektarach lub m² na podstawie powyższego wyboru)</t>
  </si>
  <si>
    <t>Lokalizacja znajdująca się na obszarach wrażliwych pod względem bioróżnorodności</t>
  </si>
  <si>
    <t>Lokalizacja znajdująca się w pobliżu obszarów wrażliwych pod względem bioróżnorodności</t>
  </si>
  <si>
    <t>B5 – Bioróżnorodność – Użytkowanie gruntów</t>
  </si>
  <si>
    <t xml:space="preserve"> </t>
  </si>
  <si>
    <t>Powierzchnia</t>
  </si>
  <si>
    <t>Całkowita powierzchnia nieprzepuszczalna</t>
  </si>
  <si>
    <t>Całkowity obszar ukierunkowany na naturę w danej lokalizacji</t>
  </si>
  <si>
    <t>Całkowity obszar ukierunkowany na naturę poza daną lokalizacją</t>
  </si>
  <si>
    <t>Całkowite użytkowanie gruntów</t>
  </si>
  <si>
    <t>B6 – Pobór wody</t>
  </si>
  <si>
    <t>Całkowita ilość pobranej wody ze wszystkich lokalizacji (m³)</t>
  </si>
  <si>
    <t>Ilość wody pobranej w lokalizacjach położonych na obszarach o wysokim deficycie wody (metry sześcienne m³)</t>
  </si>
  <si>
    <t>Czy jednostka prowadzi procesy produkcyjne, które wiążą się ze znacznym zużyciem wody (np. procesy wykorzystujące energię cieplną, takie jak suszenie lub produkcja energii elektrycznej, produkcja towarów, nawadnianie w rolnictwie itp.)?</t>
  </si>
  <si>
    <t>Zrzut wody z procesów produkcyjnych jednostki (m³)</t>
  </si>
  <si>
    <t>B7 – Opis zasad gospodarki o obiegu zamkniętym</t>
  </si>
  <si>
    <t>Jednostka stosuje zasady gospodarki o obiegu zamkniętym</t>
  </si>
  <si>
    <t>Typ odpadów</t>
  </si>
  <si>
    <t>Odpady kierowane do unieszkodliwiania</t>
  </si>
  <si>
    <t>Ilość odpadów kierowanych do recyklingu, ponownego użycia lub unieszkodliwienia</t>
  </si>
  <si>
    <t>Całkowita ilość wytworzonych odpadów niebezpiecznych (masa)</t>
  </si>
  <si>
    <t>Całkowita ilość wytwarzanych odpadów</t>
  </si>
  <si>
    <t>Całkowita ilość wytworzonych odpadów innych niż niebezpieczne (masa)</t>
  </si>
  <si>
    <t>Całkowita ilość wytwarzanych odpadów (masa)</t>
  </si>
  <si>
    <t>Całkowita ilość wytworzonych odpadów niebezpiecznych (objętość)</t>
  </si>
  <si>
    <t>metr sześcienny (m³)</t>
  </si>
  <si>
    <t>Całkowita ilość wytworzonych odpadów innych niż niebezpieczne (objętość)</t>
  </si>
  <si>
    <t>Całkowita ilość wytwarzanych odpadów (objętość)</t>
  </si>
  <si>
    <t>B7 – Roczny przepływ masowy używanych istotnych materiałów</t>
  </si>
  <si>
    <t>Czy jednostka prowadzi działalność w sektorze, w którym mają znaczenie znaczące przepływy materiałów (takim jak produkcja, budownictwo, branża opakowań lub inne)?</t>
  </si>
  <si>
    <t>Całkowity roczny przepływ masowy używanych istotnych materiałów (masa w kg)</t>
  </si>
  <si>
    <t>Całkowity roczny przepływ masowy używanych istotnych materiałów (objętość w m³)</t>
  </si>
  <si>
    <t>C4 – Ryzyko związane z klimatem</t>
  </si>
  <si>
    <t>Czy jednostka zidentyfikowała zagrożenia związane z klimatem i zdarzenia dotyczące przejścia związanego z klimatem, powodujące poważne ryzyka związane z klimatem dla jednostki?</t>
  </si>
  <si>
    <t>Opis zagrożeń związanych z klimatem oraz zdarzeń dotyczących przejścia związanego z klimatem</t>
  </si>
  <si>
    <t>Ujawnienie w jaki sposób zostało ocenione narażenie i wrażliwość jej aktywów, działań i łańcucha wartości na te zagrożenia i zdarzenia dotyczące przejścia</t>
  </si>
  <si>
    <t>Perspektywy czasowe wszelkich zagrożeń związanych z klimatem oraz zdarzeń dotyczących przejścia związanego z klimatem</t>
  </si>
  <si>
    <t>Ujawnienie czy podjęła działania mające na celu przystosowanie się do zmiany klimatu w odniesieniu do wszelkich zagrożeń związanych z klimatem i zdarzeń dotyczących przejścia związanego z klimatem</t>
  </si>
  <si>
    <t>Potencjalne negatywne skutki ryzyk związanych z klimatem, które mogące wpłynąć na jej wyniki finansowe lub działalność gospodarczą w perspektywie krótko-, średnio- lub długoterminowej, wskazując, czy według jej oceny poziom tych ryzyk jest wysoki, średni, czy też niski</t>
  </si>
  <si>
    <t>Ujawnienie wszelkich innych informacji środowiskowych i/lub informacji środowiskowych specyficznych dla danej jednostki</t>
  </si>
  <si>
    <t>Metodologia liczenia pracowników dla poniższych ujawnień (liczba zatrudnionych lub ekwiwalent pełnego czasu pracy powiązany z B1)</t>
  </si>
  <si>
    <t>Metodologia liczenia pracowników dla poniższych ujawnień (na koniec okresu sprawozdawczego lub jako średnia w całym okresie sprawozdawczym powiązana z B1)</t>
  </si>
  <si>
    <t>B8 – Zasoby pracownicze – Ogólna charakterystyka - Rodzaj umowy</t>
  </si>
  <si>
    <t>Liczba pracowników ogółem (odniesienie do B1)</t>
  </si>
  <si>
    <t>B8 – Zasoby pracownicze – Ogólne charakterystyki - Płeć</t>
  </si>
  <si>
    <t>Inna</t>
  </si>
  <si>
    <t>B8 – Zasoby pracownicze – Ogólna charakterystyka - Kraj zatrudnienia</t>
  </si>
  <si>
    <t>Kraj umowy o pracę</t>
  </si>
  <si>
    <t>Czy jednostka prowadzi działalność w więcej niż jednym kraju?</t>
  </si>
  <si>
    <t>B8 – Zasoby pracownicze – Ogólna charakterystyka - Wskaźnik rotacji</t>
  </si>
  <si>
    <t>Liczba pracowników, którzy opuścili jednostkę w okresie sprawozdawczym</t>
  </si>
  <si>
    <t>Liczba pracowników na początku okresu sprawozdawczego</t>
  </si>
  <si>
    <t>Liczba pracowników na koniec okresu sprawozdawczego</t>
  </si>
  <si>
    <t>Wskaźnik rotacji pracowników [%] w okresie sprawozdawczym</t>
  </si>
  <si>
    <t>B9 – Zasoby pracownicze – Bezpieczeństwo i higiena pracy</t>
  </si>
  <si>
    <t>Liczba podlegających zgłoszeniu wypadków związanych z pracą w okresie sprawozdawczym</t>
  </si>
  <si>
    <t>Liczba godzin przepracowanych przez jednego pracownika zatrudnionego na pełen etat w okresie sprawozdawczym</t>
  </si>
  <si>
    <t>Całkowita liczba godzin przepracowanych w ciągu roku przez wszystkich pracowników w okresie sprawozdawczym</t>
  </si>
  <si>
    <t>Wskaźnik podlegających zgłoszeniu wypadków związanych z pracą w okresie sprawozdawczym</t>
  </si>
  <si>
    <t>Liczba ofiar śmiertelnych w wyniku urazów związanych z pracą i złego stanu zdrowia związanego z pracą</t>
  </si>
  <si>
    <t>Pracownicy otrzymują wynagrodzenie co najmniej równe obowiązującej płacy minimalnej, ustanowionej bezpośrednio na mocy krajowych przepisów dotyczących płacy minimalnej lub układu zbiorowego pracy</t>
  </si>
  <si>
    <t>Średni poziom godzinowego wynagrodzenia brutto pracowników płci żeńskiej</t>
  </si>
  <si>
    <t>Luka płacowa między pracownikami płci żeńskiej i męskiej w ujęciu procentowym w jednostce [%]</t>
  </si>
  <si>
    <t>Średnia liczba godzin szkoleń w ciągu roku na pracownika w okresie sprawozdawczym</t>
  </si>
  <si>
    <t>Średnia liczba godzin szkoleń w ciągu roku na pracownika</t>
  </si>
  <si>
    <t>Liczba pracowników płci męskiej wśród kadry zarządzającej</t>
  </si>
  <si>
    <t>Liczba pracowników płci żeńskiej wśród kadry zarządzającej</t>
  </si>
  <si>
    <t>Współczynnik płci wśród kadry zarządzającej w okresie sprawozdawczym</t>
  </si>
  <si>
    <t>Całkowita liczba osób samozatrudnionych bez personelu, które pracują wyłącznie na rzecz jednostki</t>
  </si>
  <si>
    <t>Całkowita liczba pracowników tymczasowych zapewnionych przez jednostki prowadzące głównie działalność związaną z zatrudnieniem</t>
  </si>
  <si>
    <t>Czy jednostka posiada kodeks postępowania lub politykę dotyczącą praw człowieka dla własnych pracowników?</t>
  </si>
  <si>
    <t>Jeśli tak, czy dokumenty te obejmują takie kwestie jak:</t>
  </si>
  <si>
    <t>praca dzieci</t>
  </si>
  <si>
    <t>praca przymusowa</t>
  </si>
  <si>
    <t>handel ludźmi</t>
  </si>
  <si>
    <t>dyskryminacja</t>
  </si>
  <si>
    <t>zapobieganie wypadkom</t>
  </si>
  <si>
    <t>inne kwestie? (TAK/NIE – jeśli tak, jakie?)</t>
  </si>
  <si>
    <t>Określ inne rodzaje treści objęte kodeksem postępowania lub polityką dotyczącą praw człowieka</t>
  </si>
  <si>
    <t>Czy jednostka dysponuje mechanizmem rozpatrywania skarg dla własnych praconików?</t>
  </si>
  <si>
    <t>Czy jednostka odnotowała potwierdzone incydenty dotyczące własnych pracowników?</t>
  </si>
  <si>
    <t>Jeżeli tak, czy incydenty są związane z:</t>
  </si>
  <si>
    <t>Określ inne prawa człowieka związane z potwierdzonymi incydentami</t>
  </si>
  <si>
    <t>Opis działań podjętych w celu rozwiązania potwierdzonych incydentów</t>
  </si>
  <si>
    <t>Czy jednostka posiada wiedzę na temat jakichkolwiek potwierdzonych incydentów dotyczących osób wykonujących pracę w łańcuchu wartości, dotkniętych społeczności, konsumentów i użytkowników końcowych?</t>
  </si>
  <si>
    <t>Specyfikacja potwierdzonych incydentów dotyczących osób wykonujących pracę w łańcuchu wartości, dotkniętych społeczności, konsumentów i użytkowników końcowych</t>
  </si>
  <si>
    <t>Ujawnienie innych informacji społecznych i/lub informacji społecznych specyficznych dla danej jednostki</t>
  </si>
  <si>
    <t>Czy jednostka otrzymała wyroki skazujące lub podlegała grzywnom w okresie sprawozdawczym?</t>
  </si>
  <si>
    <t>Całkowita liczba wyroków skazujących za naruszenie przepisów antykorupcyjnych i przepisów w sprawie zwalczania przekupstwa</t>
  </si>
  <si>
    <t>Całkowita kwota grzywien za naruszenie przepisów antykorupcyjnych i przepisów w sprawie zwalczania przekupstwa</t>
  </si>
  <si>
    <t xml:space="preserve">Czy jednostka uzyskuje przychody z jednej z poniżej wymienionych działalności? </t>
  </si>
  <si>
    <t>Przychody z kontrowersyjnych rodzajów broni (miny przeciwpiechotne, amunicja kasetowa, broń chemiczna i broń biologiczna)</t>
  </si>
  <si>
    <t>Przychody z uprawy i produkcji tytoniu</t>
  </si>
  <si>
    <t>Przychody z węgla</t>
  </si>
  <si>
    <t>Przychody z ropy naftowej</t>
  </si>
  <si>
    <t>Przychody z gazu</t>
  </si>
  <si>
    <t>Całkowite przychody z sektora paliw kopalnych (węgiel, ropa i gaz) (tj. jednostka osiąga przychody z działalności związanej z poszukiwaniem, górnictwem, wydobyciem, produkcją, przetwarzaniem, magazynowaniem, rafinacją lub dystrybucją, w tym transportem i magazynowaniem, paliw kopalnych zdefiniowanych w art. 2 pkt 62 rozporządzenia Parlamentu Europejskiego i Rady (UE) 2018/1999 oraz handlem tymi paliwami)</t>
  </si>
  <si>
    <t>Przychody z produkcji chemikaliów</t>
  </si>
  <si>
    <t>C8 – Wykluczenie z unijnych wskaźników referencyjnych</t>
  </si>
  <si>
    <t>Jednostki są wyłączone z unijnych wskaźników referencyjnych dostosowanych do porozumienia paryskiego, jeżeli uzyskują:</t>
  </si>
  <si>
    <t>co najmniej 1% swoich przychodów z działalności związanej z poszukiwaniem, wydobyciem, dystrybucją lub rafinacją węgla kamiennego i brunatnego</t>
  </si>
  <si>
    <t>co najmniej 10% swoich przychodów z działalności związanej z poszukiwaniem, wydobyciem, dystrybucją lub rafinacją paliw olejowych</t>
  </si>
  <si>
    <t>co najmniej 50% swoich przychodów z działalności związanej z poszukiwaniem, wydobyciem, dystrybucją lub rafinacją paliw gazowych</t>
  </si>
  <si>
    <t>50% swoich przychodów z produkcji energii elektrycznej, której intensywność emisji gazów cieplarnianych wynosi powyżej 100 g CO2e/kWh</t>
  </si>
  <si>
    <t>żadne z powyższych</t>
  </si>
  <si>
    <t>Jednostki są wykluczone z jakichkolwiek unijnych wskaźników referencyjnych, które są zgodne z porozumieniem paryskim.</t>
  </si>
  <si>
    <t>C9 – Wskaźnik zróżnicowania organu zarządzającego pod względem płci</t>
  </si>
  <si>
    <t>Czy jednostka posiada organ zarządzający?</t>
  </si>
  <si>
    <t>Liczba kobiet w organie zarządzającym na koniec okresu sprawozdawczego</t>
  </si>
  <si>
    <t>Liczba mężczyzn w organie zarządzającym na koniec okresu sprawozdawczego</t>
  </si>
  <si>
    <t>Wskaźnik zróżnicowania organu zarządzającego pod względem płci</t>
  </si>
  <si>
    <t>Ujawnienie wszelkich innych ujawnień dotyczących ładu korporacyjnego i/lub ujawnień dotyczących ładu korporacyjnego specyficznych dla danej jednostki</t>
  </si>
  <si>
    <t>ZASTRZEŻENIE:</t>
  </si>
  <si>
    <t>Ten konwerter ma na celu jedynie zilustrowanie, w jaki sposób można obliczyć zużycie energii (w MWh) na podstawie różnych rodzajów paliw. EFRAG nie ponosi żadnej odpowiedzialności za treść ani za jakiekolwiek bezpośrednie, pośrednie lub przypadkowe skutki lub szkody wynikłe z korzystania z tego konwertera paliw.</t>
  </si>
  <si>
    <t xml:space="preserve">Proszę zauważyć, że typowe wartości dla wartości kalorycznej netto (NCV) i gęstości są podane dla każdego rodzaju paliwa. Jednakże parametry te mogą się różnić w zależności od czynników takich jak krajowe przepisy, specyficzne cechy dostawców paliw lub inne okoliczności. W związku z tym użytkownicy powinni ręcznie wprowadzać lub dostosowywać wartość kaloryczną netto (NCV) i gęstość, aby odzwierciedlić swoją konkretną sytuację. </t>
  </si>
  <si>
    <t>Dodatkowo, zaleca się, aby użytkownicy określili status odnawialności każdego paliwa na podstawie Gwarancji Pochodzenia, zgodnie z artykułem 19 dyrektywy europejskiej 2018/2001/UE dotyczącej promowania wykorzystania energii ze źródeł odnawialnych. Domyślny status odnawialności przypisany do każdego paliwa jest typowym założeniem i w razie potrzeby powinien zostać dostosowany na podstawie okoliczności geograficznych lub indywidualnych.</t>
  </si>
  <si>
    <t>Wskazuje, że komórka powinna być wypełniona przez wybranie wartości z listy rozwijanej (np. Rodzaj paliwa lub Jednostka miary) lub przez wprowadzenie ilości.</t>
  </si>
  <si>
    <t>Ilość</t>
  </si>
  <si>
    <t>Użytkowanie konwertera paliwa:</t>
  </si>
  <si>
    <t>1. W komórce A9 wybierz użyte paliwo, wyszukując je lub przewijając w dół wyświetlaną listę i klikając komórkę</t>
  </si>
  <si>
    <t>2. W komórce B9 wybierz użytą jednostkę miary</t>
  </si>
  <si>
    <t>5 W komórce E9 wyświetlany jest Typowy stan odnawialności dla wybranego paliwa</t>
  </si>
  <si>
    <t>6. W komórce F9 wyświetlana jest energia wyprodukowana w megawatogodzinach (MWh) przez określoną ilość paliwa</t>
  </si>
  <si>
    <t>Przenieś całkowite obliczone wyniki do komórki B3 Zużycie energii paliwowej</t>
  </si>
  <si>
    <t>Całkowita energia [MWh]</t>
  </si>
  <si>
    <t>Całkowita energia odnawialna [MWh]</t>
  </si>
  <si>
    <t>Całkowita energia nieodnawialna [MWh]</t>
  </si>
  <si>
    <t>Konwerter oferuje możliwość jednoczesnego obliczania do 10 różnych rodzajów paliw. Aby to zrobić, proszę rozwinąć ukryte kolumny, korzystając z ikony plusa u góry dokumentu.
Każdy rozwinięty konwerter paliw działa dokładnie tak, jak wyjaśniono powyżej. 
Ważne jest, aby zauważyć, że automatyczne obliczenia wykonywane przez Konwerter Paliw są dokonywane przy użyciu wartości kalorycznej netto (NCV) i Gęstości, które są typowe dla danego rodzaju paliwa. Jeśli jednostka jest w stanie dostarczyć konkretne wartości NCV i gęstości używanych paliw, istnieje możliwość obliczenia Zużycia energii na godzinę w MWh, uwzględniając konkretne wartości w formułach zautomatyzowanych w arkuszu Konwertera Paliw.
Poniżej znajdują się formuły, na wypadek gdyby preferowane było rozwiązanie obliczeń niestandardowych, nieautomatycznych, z wykorzystaniem specyficznych wartości zamiast korzystania z Konwertera. Jeśli potrzebujesz przeliczyć jednostki miary swoich konkretnych wielkości, proszę użyj Konwertera Jednostek Miary.</t>
  </si>
  <si>
    <t>Energia [MWh] = Masa [t] * NCV [MWh/t]</t>
  </si>
  <si>
    <t>Zużycie energii na godzinę w MWh dla paliw ciekłych:</t>
  </si>
  <si>
    <t>PRZELICZNIK JEDNOSTEK MIARY</t>
  </si>
  <si>
    <t>Jednostka miary przelicznika masy</t>
  </si>
  <si>
    <t>Jednostka miary przelicznika objętości</t>
  </si>
  <si>
    <t>Jednostka miary przelicznika NCV</t>
  </si>
  <si>
    <t>Jednostka miary przelicznika gęstości</t>
  </si>
  <si>
    <t>Użytkowanie Przelicznika jednostek miar</t>
  </si>
  <si>
    <t>Kroki do wykonania dla Tabeli masy:</t>
  </si>
  <si>
    <t>1. W komórce B5 tabeli dotyczącej Jednostki miary przelicznika masy powinna zostać wstawiona jednostka miary do przeliczenia.</t>
  </si>
  <si>
    <t>3. Na koniec w komórce D5 powinna znaleźć się interesująca nas jednostka miary.</t>
  </si>
  <si>
    <t>Kroki do wykonania dla pozostałych tabel (Objętość, Zużycie energii, Gęstość i NCV) są takie same jak dla Tabeli masy.</t>
  </si>
  <si>
    <t>Poniżej określono wszystkie przeliczenia jednostek miar dla każdej tabeli.</t>
  </si>
  <si>
    <t>▪ Jednostka miary przelicznika masy:</t>
  </si>
  <si>
    <t>▪ Jednostka miary przelicznika objętości:</t>
  </si>
  <si>
    <t>▪ Jednostka miary przelicznika energii:</t>
  </si>
  <si>
    <t>▪ Jednostka miary przelicznika gęstości:</t>
  </si>
  <si>
    <t>▪ Jednostka miary przelicznika NCV:</t>
  </si>
  <si>
    <t>NIEKOMPLETNY</t>
  </si>
  <si>
    <t>KOMPLETNY</t>
  </si>
  <si>
    <t>BRAK WARTOŚCI</t>
  </si>
  <si>
    <t>BŁĄD + BRAK WARTOŚCI + NIESPÓJNOŚĆ WARTOŚCI</t>
  </si>
  <si>
    <t>BŁĄD + BRAK WARTOŚCI</t>
  </si>
  <si>
    <t>BRAKUJĄCA WARTOŚĆ + NIESPÓJNOŚĆ WARTOŚCI</t>
  </si>
  <si>
    <t>NIEPOPRAWNY URL</t>
  </si>
  <si>
    <t>ℹ️ Paliwo ciekłe: proszę wybrać jedną jednostkę miary spośród m³ i L</t>
  </si>
  <si>
    <t>ℹ️ Identyfikator jednostki to unikalne ID, które umożliwi identyfikację jednostki, która przekazała informacje. Standard VSME nie wymaga konkretnego identyfikatora. Identyfikator jednostki jest wymagany do sprawozdawczości elektronicznej.</t>
  </si>
  <si>
    <t>ℹ️ Jeśli po prawej stronie pojawi się komunikat NIESPÓJNOŚĆ WARTOŚCI, upewnij się, że data zakończenia okresu sprawozdawczego jest późniejsza niż data rozpoczęcia okresu sprawozdawczego.</t>
  </si>
  <si>
    <t>ℹ️ Listy można rozwijać, używając małego przycisku [+] po lewej stronie. Jeśli liczba wierszy jest niewystarczająca, można je dodać, klikając prawym przyciskiem myszy drugi wiersz i wybierając „Wstaw wiersz”.</t>
  </si>
  <si>
    <t>ℹ️ Jeżeli wybrano „inne” jako formę prawną jednostki, proszę wypełnić poniższy wiersz.</t>
  </si>
  <si>
    <t>ℹ️ Proszę wybrać kod NACE zamiast kategorii, w przeciwnym razie pojawi się komunikat BŁĄD.</t>
  </si>
  <si>
    <t>ℹ️ Proszę pamiętać, aby oddzielać każdy numer ulicy i numer domu za pomocą symbolu ukośnika "/" a nie przecinka ",".</t>
  </si>
  <si>
    <t>ℹ️ Proszę zauważyć, że formuła obecna w tej komórce może zostać nadpisana, jeśli jednostka zdecyduje się bezpośrednio wprowadzić wartość.</t>
  </si>
  <si>
    <t>ℹ️ Kategorie zakresu 3 zgodnie z protokołem GHG mogą pomóc w obliczeniu całkowitej emisji gazów cieplarnianych zakresu 3. W przypadku, gdy jednostka zechce, może bezpośrednio podać całkowitą emisję gazów cieplarnianych zakresu 3 w odpowiedniej komórce.</t>
  </si>
  <si>
    <t>ℹ️ Jeśli pojawi się walidacja dotycząca niespójności wartości, proszę wybrać identyfikator lokalizacji (site ID) różny od wcześniej wybranych.</t>
  </si>
  <si>
    <t>ℹ️ Proszę wybrać Rodzaj odpadu (niebezpieczny lub inne niż niebezpieczny), a nie kategorię, w przeciwnym razie pojawi się komunikat BŁĄD.</t>
  </si>
  <si>
    <t>ℹ️ Prosimy upewnić się, że łączna liczba pracowników jest taka sama jak podana w arkuszu "Informacje ogólne" w komórce E55.</t>
  </si>
  <si>
    <t>ℹ️ Jednostka może zmodyfikować wartość w tej komórce, ponieważ 2 000 godzin jest oparte na założeniu, że jeden pracownik zatrudniony na pełny etat pracuje 2 000 godzin rocznie. Ta wartość może się różnić w odniesieniu do kraju lub sektora, w zależności od krajowych przepisów lub układów zbiorowych pracy.</t>
  </si>
  <si>
    <t>Polish - Reviewed translation by Polish Standard Setter</t>
  </si>
  <si>
    <t>· C8 - Revenues from certain activities and exclusion from EU reference benchmarks</t>
  </si>
  <si>
    <t>Revenues from certain activities</t>
  </si>
  <si>
    <t>Prepared in accordance with the Voluntary Sustainability Reporting Standard for small and medium-sized undertakings (VSME), released by the European Commission on 30 July 2025.</t>
  </si>
  <si>
    <t>5. Convert this template to an Inline XBRL report (or XBRL-JSON, XBRL-CSV), using the online converter. Pay attention to the XBRL validation performed by the validator.</t>
  </si>
  <si>
    <t>B1 – Basis for preparation</t>
  </si>
  <si>
    <t>B2 – Practices, policies and future initiatives for transitioning towards a more sustainable economy</t>
  </si>
  <si>
    <t>B3 – Energy and greenhouse gas emissions</t>
  </si>
  <si>
    <t>B4 – Pollution of air, water and soil</t>
  </si>
  <si>
    <t>B5 – Biodiversity</t>
  </si>
  <si>
    <t>B6 – Water</t>
  </si>
  <si>
    <t>B7 – Resource use, circular economy and waste management</t>
  </si>
  <si>
    <t>B8 – Workforce – General characteristics</t>
  </si>
  <si>
    <t>B10 – Workforce – Remuneration, collective bargaining and training</t>
  </si>
  <si>
    <t>C2 – Description of practices, policies and future initiatives for transitioning towards a more sustainable economy</t>
  </si>
  <si>
    <t>C3 – GHG reduction targets and climate transition</t>
  </si>
  <si>
    <t>C8 – Revenues from certain sectors and exclusion from EU reference benchmarks</t>
  </si>
  <si>
    <t>Validación VALOR NO INFORMADO/ERROR/INCONSISTENCIA DE VALOR/URL INVÁLIDA</t>
  </si>
  <si>
    <t>Validación correcta</t>
  </si>
  <si>
    <t>Información sobre Gobernanza</t>
  </si>
  <si>
    <t>Referencia al párrafo de la Guía</t>
  </si>
  <si>
    <t>[Siempre debe informarse]</t>
  </si>
  <si>
    <t>[Podrá (opcional)]</t>
  </si>
  <si>
    <t>Podrá (opcional)</t>
  </si>
  <si>
    <t>Divisa de los valores monetarios en el informe</t>
  </si>
  <si>
    <t>Personal propio</t>
  </si>
  <si>
    <t>Descripción de los grupos significativos de productos o servicios ofrecidos</t>
  </si>
  <si>
    <t>Descripción de aquellos elementos clave en la estrategia que se relacionan o afecten a cuestiones de sostenibilidad</t>
  </si>
  <si>
    <t>¿La empresa divulga información específica sobre las emisiones de Alcance 3 (en tCO2e)?</t>
  </si>
  <si>
    <t>Activos arrendados aguas arriba</t>
  </si>
  <si>
    <t>Emisiones a la atmosfera</t>
  </si>
  <si>
    <t>Vertidos al agua</t>
  </si>
  <si>
    <t>Vertidos al suelo</t>
  </si>
  <si>
    <t>No Informado</t>
  </si>
  <si>
    <t>Empresas que generan el 1 % o más de sus ingresos procedentes de la exploración, la extracción, la distribución o el refinado de hulla y lignito.</t>
  </si>
  <si>
    <t xml:space="preserve">VALOR NO INFORMADO </t>
  </si>
  <si>
    <t>ERROR+INCONSISTENCIA DE VALOR</t>
  </si>
  <si>
    <t>ERROR+VALOR NO INFORMADO+INCONSISTENCIA DE VALOR</t>
  </si>
  <si>
    <t xml:space="preserve">ERROR+VALOR NO INFORMADO </t>
  </si>
  <si>
    <t>VALOR NO INFORMADO+ INCOSISTENCIA DE VALOR</t>
  </si>
  <si>
    <t>Divisa del informe</t>
  </si>
  <si>
    <t>El propósito de esta plantilla digital es ilustrar cómo se puede implementar la presentación de informes VSME en una plantilla digital. La plantilla refleja la Recomendación VSME publicada por la Comisión Europea el 30 de julio de 2025. La plantilla va acompañada de una taxonomía digital VSME XBRL, que representa el modelo digital de datos de las divulgaciones y está disponible en el sitio web de EFRAG. El VSME requiere la divulgación de información comparativa sobre métricas (párrafo 12). Esta plantilla permite la presentación de informes para un único período de informe. Por lo tanto, podría usarse solo para la presentación de informes en el primer año. Se espera que las soluciones de informes permitan la continuidad de los períodos de informe, lo que proporcionaría automáticamente la información comparativa necesaria.
Esta plantilla puede ser utilizada para la entrada y validación de datos. Al usar un Conversor XBRL en el sitio web de EFRAG, se puede guardar como un informe XBRL, en un formato de datos libre y abierto. Los rangos nombrados de Excel se utilizan para extraer las divulgaciones. Las celdas de valor que estén vacías y no tengan ningún valor (ni texto ni número) no se considerarán como reportadas y no se incluirán en el informe XBRL al usar el conversor de Excel a XBRL.
Algunos menús desplegables en el VSME tienen más de 100 entradas (por ejemplo, los códigos NACE bajo B1, la lista de contaminantes bajo B4, la lista de residuos bajo B7). Para buscar en la lista, los usuarios pueden simplemente empezar a escribir palabras clave en la celda.
Si se muestra una advertencia de seguridad, por favor “Habilite el contenido” para permitir el cálculo automático de las coordenadas GPS para la lista de sitios bajo B1. No se enviará contenido distinto de la dirección ingresada al proveedor y los contenidos compartidos con el proveedor pueden encontrarse en la Política de Uso de Nominatim (Política de Geocodificación) y en la Política de Privacidad.
Todos los materiales desarrollados por la Secretaría de EFRAG se publican de forma gratuita y como código abierto (licencia MIT), lo que permitirá a cualquier interesado mejorarlos e integrarlos en soluciones comerciales. Sin embargo, respetando las condiciones de la licencia, los proveedores de dichas soluciones comerciales deben mencionar la referencia a EFRAG. Es posible consultar la Licencia MIT en la hoja específica.
Si desea presentar un problema con la Plantilla Digital VSME o con el Convertidor de Plantilla Digital a XBRL, por favor hágalo creando un issue en el proyecto de GitHub.</t>
  </si>
  <si>
    <t>· C1 – Estrategia: modelo de negocio y sostenibilidad – Iniciativas relacionadas</t>
  </si>
  <si>
    <t>Divulgación de cualquier otra información ambiental y/o información ambiental específica de la entidad</t>
  </si>
  <si>
    <t>· Divulgación de cualquier otra información sobre gobernanza y/o información sobre gobernanza específica de la entidad</t>
  </si>
  <si>
    <t>Metodología para el recuento de empleados (Al final del período de informe o como promedio durante el período de informe)</t>
  </si>
  <si>
    <t>Metodología para el recuento de empleados (Número de personas o equivalente a jornada completa)</t>
  </si>
  <si>
    <t>C1 – Estrategia: modelo de negocio y sostenibilidad – Iniciativas relacionadas</t>
  </si>
  <si>
    <t>B8 –Trabajadores– Características generales - Tipo de contrato</t>
  </si>
  <si>
    <t>Número de accidentes de trabajo registrados en el período de informe</t>
  </si>
  <si>
    <t>Número de empelados cubiertos por convenios de negociación colectiva</t>
  </si>
  <si>
    <t>Porcentaje de empleados cubiertos por convenios de negociación colectiva [%]</t>
  </si>
  <si>
    <t>Ingresos derivados de armas controvertidas (minas antipersona, municiones en racimo, armas químicas y armas biológicas)</t>
  </si>
  <si>
    <t>Ingresos totales derivados del sector de los combustibles fósiles (carbón, petróleo y gas) [es decir, la empresa obtiene ingresos de la exploración,la extracción, la producción, la transformación, el almacenamiento, el refinado o la distribución, incluidos el transporte, el almacenamiento y la comercialización, de combustibles fósiles, tal como se definen en el artículo 2, apartado 62, del Reglamento (UE) 2018/1999 del Parlamento Europeo y del Consejo] .</t>
  </si>
  <si>
    <t>Este convertidor tiene la única finalidad de ilustrar cómo se puede calcular el consumo de energía (en MWh) a partir de diversos tipos de combustible. EFRAG no asume ninguna responsabilidad ni obligación por el contenido ni por cualquier consecuencia o daño directo, indirecto o accidental resultante del uso de este convertidor de combustible.</t>
  </si>
  <si>
    <t>Adicionalmente, se anima a los usuarios a determinar el carácter renovable de cada combustible basándose en las Garantías de Origen, tal como se establece en el artículo 19 de la Directiva Europea 2018/2001/CE sobre la promoción del uso de energía procedente de fuentes renovables. El carácter renovable predeterminado para cada combustible es una suposición típica y deberá ajustarse si es necesario, teniendo en cuenta circunstancias geográficas o individuales.</t>
  </si>
  <si>
    <t xml:space="preserve">El convertidor ofrece la posibilidad de calcular simultáneamente hasta 10 tipos diferentes de combustible. Para hacerlo, por favor expanda las columnas ocultas utilizando el icono de más en la parte superior del documento.
Cada convertidor de combustible expandido funciona exactamente como se explicó anteriormente.
Es importante tener en cuenta que el cálculo automático realizado por el Convertidor de Combustible se lleva a cabo utilizando los Poderes Caloríficos Netos (PCN) y Densidades que son típicos para ese tipo específico de combustible. Si la entidad puede proporcionar los PCN y las Densidades específicas de los Combustibles utilizados, existe la posibilidad de calcular el Consumo Energético por Hora en MWh incorporando los valores específicos en las fórmulas que están automatizadas en la hoja del Convertidor de Combustible.
A continuación, se presentan las fórmulas, por si se prefiere la solución de un cálculo no automatizado usando valores específicos en lugar del Convertidor. Si necesita convertir la Unidad de Medida de sus medidas específicas, por favor utilice el Convertidor de Unidad de Medida.
</t>
  </si>
  <si>
    <t>Nombre de la entidad</t>
  </si>
  <si>
    <t>Esquema de Identificador de Entidad</t>
  </si>
  <si>
    <t>Periodo del informe</t>
  </si>
  <si>
    <t>Todas las divulgaciones se refieren al período de reporte indicado arriba, salvo que se especifique lo contrario.</t>
  </si>
  <si>
    <t>Tabla de contenido</t>
  </si>
  <si>
    <t>Periodo de reporte:</t>
  </si>
  <si>
    <t>Punto de entrada a la taxonomía:</t>
  </si>
  <si>
    <t>Seleccionar el idioma de visualización de la plantilla:</t>
  </si>
  <si>
    <t>Informe de Sostenibilidad</t>
  </si>
  <si>
    <t xml:space="preserve">Subtítulo del informe
</t>
  </si>
  <si>
    <t>Plantilla Digital VSME</t>
  </si>
  <si>
    <t>Cómo utilizarlo:</t>
  </si>
  <si>
    <t>2. Encuentre más información sobre los requisitos reales de divulgación en el Estándar VSME y la orientación relacionada vinculada a cada celda. Se pueden proporcionar divulgaciones adicionales o específicas de la entidad en cada cuadro de texto al final de cada hoja de cálculo.</t>
  </si>
  <si>
    <t>4. Valide los datos introducidos comprobando el estado de validación. Se considera que el informe está incompleto o contiene errores si la validación falla, lo que podría resultar en un informe XBRL no válido.</t>
  </si>
  <si>
    <t xml:space="preserve">Principios generales
</t>
  </si>
  <si>
    <t>Indica que la divulgación proviene de los principios generales del VSME.</t>
  </si>
  <si>
    <t>Indica que la divulgación proviene del Módulo Básico VSME.</t>
  </si>
  <si>
    <t>Indica que la divulgación proviene del Módulo Completo VSME.</t>
  </si>
  <si>
    <t xml:space="preserve">Indica que la celda se calcula automáticamente y que no se requiere introducir datos. 
</t>
  </si>
  <si>
    <t xml:space="preserve">Indica que el punto de datos (a menudo una condición) no se incluirá en el informe VSME y en el informe digital XBRL. Estas celdas se proporcionan para facilitar la cumplimentación de la divulgación, ya que activan la aplicabilidad de la divulgación o permiten el cálculo automático de la misma. Si las celdas amarillas no se utilizan para calcular un valor, el total que se debe informar puede introducirse manualmente, sobrescribiendo la fórmula. 
</t>
  </si>
  <si>
    <t>Indica que no se requiere ninguna entrada de datos a menos que se seleccionen ciertas lógicas en la propia divulgación. Cuando se selecciona una de estas lógicas, entonces esta celda se pondrá blanca.</t>
  </si>
  <si>
    <t>Indica que la entrada de datos es incorrecta en cuanto al formato o que falta cierta información para informar correctamente sobre la divulgación.</t>
  </si>
  <si>
    <t>Las listas se pueden expandir utilizando el botón más [+] situado a la izquierda. Si el número de filas no es suficiente, se pueden añadir filas adicionales haciendo clic con el botón derecho en la segunda fila y seleccionando "Insertar fila".</t>
  </si>
  <si>
    <t>EFRAG está financiado por la Unión Europea a través del Programa de Mercado Único en el que participan los países EEE-EFTA (Noruega, Islandia y Liechtenstein), así como Kosovo. Sin embargo, las opiniones y puntos de vista expresados son únicamente los del autor o autores y no reflejan necesariamente los de la Unión Europea, la Comisión Europea ni los de los países que participan en el Programa de Mercado Único. Ni la Unión Europea, ni la Comisión Europea ni los países participantes en el Programa de Mercado Único pueden ser considerados responsables de ellos. © 2025 EFRAG Todos los derechos reservados.</t>
  </si>
  <si>
    <t xml:space="preserve">Los derechos de reproducción y uso están estrictamente limitados. Para más detalles, por favor contacte a efragsecretariat@efrag.org
</t>
  </si>
  <si>
    <t>Estado general de validación</t>
  </si>
  <si>
    <t>La agrupación de contenidos sigue el marco del modelo</t>
  </si>
  <si>
    <t>Estado de Validación de Contenido Específico</t>
  </si>
  <si>
    <t>· Información del informe necesaria para XBRL</t>
  </si>
  <si>
    <t>Información sobre el periodo de reporte anterior</t>
  </si>
  <si>
    <t>B1 – Base para la elaboración</t>
  </si>
  <si>
    <t>Base para la preparación e información general de la otra empresa</t>
  </si>
  <si>
    <t>Relación de filiales</t>
  </si>
  <si>
    <t>Divulgación de la(s) certificación(es) o etiqueta(s) relacionada(s) con la sostenibilidad</t>
  </si>
  <si>
    <t>Lista de sitio(s)</t>
  </si>
  <si>
    <t>Divulgaciones específicas de cooperativas</t>
  </si>
  <si>
    <t>Divulgaciones Ambientales</t>
  </si>
  <si>
    <t>B3 - Energía y emisiones de gases de efecto invernadero</t>
  </si>
  <si>
    <t>Emisiones brutas estimadas de gases de efecto invernadero considerando el Protocolo GHG versión 2004 (en tCO2e)</t>
  </si>
  <si>
    <t>Intensidad de emisión de gases de efecto invernadero por volumen de negocios</t>
  </si>
  <si>
    <t>B4 – Contaminación de la atmósfera, del agua y del suelo</t>
  </si>
  <si>
    <t>B5 – Biodiversidad</t>
  </si>
  <si>
    <t>Sitios en zonas sensibles para la biodiversidad</t>
  </si>
  <si>
    <t>B6 – Agua</t>
  </si>
  <si>
    <t>· B7 - Uso de los recursos, economía circular y gestión de residuos</t>
  </si>
  <si>
    <t>Flujo de masa anual de materiales pertinentes utilizados</t>
  </si>
  <si>
    <t>Divulgaciones Sociales</t>
  </si>
  <si>
    <t>B8 – Trabajadores – Características generales</t>
  </si>
  <si>
    <t>B9 – Trabajadores – Salud y seguridad</t>
  </si>
  <si>
    <t>B10 – Trabajadores – Retribución, negociación colectiva y formación</t>
  </si>
  <si>
    <t>C2 – Descripción de las prácticas, políticas e iniciativas futuras para la transición hacia una economía más sostenible</t>
  </si>
  <si>
    <t>· C3 - Metas de reducción de GEI y transición climática</t>
  </si>
  <si>
    <t>Objetivos de reducción de GEI (en tCO2e)</t>
  </si>
  <si>
    <t>Divulgación de la lista de acciones principales que la entidad busca implementar para alcanzar sus objetivos</t>
  </si>
  <si>
    <t>Plan de transición para empresas que operan en sectores de alto impacto climático</t>
  </si>
  <si>
    <t>C5 – Características (generales) adicionales de los trabajadores</t>
  </si>
  <si>
    <t>C6 – Información adicional sobre el personal propio – Políticas y procesos en materia de derechos humanos</t>
  </si>
  <si>
    <t>· C7 - Incidentes graves negativos de derechos humanos</t>
  </si>
  <si>
    <t>C9 – Índice de diversidad de género en el órgano de gobierno</t>
  </si>
  <si>
    <t>Divulgación de cualquier otra información general y/o específica de la entidad sobre el período de informe</t>
  </si>
  <si>
    <t>Divulgación de cualquier otra información social y/o información social específica de la entidad</t>
  </si>
  <si>
    <t>Referencia de párrafo</t>
  </si>
  <si>
    <t>[Si procede]</t>
  </si>
  <si>
    <t>[Siempre debe informarse + Si procede]</t>
  </si>
  <si>
    <t>importe en</t>
  </si>
  <si>
    <t>Información sobre el informe necesaria para XBRL</t>
  </si>
  <si>
    <t>Identificador de la entidad que presenta el informe (seleccione y especifique a la derecha)</t>
  </si>
  <si>
    <t>Fecha de inicio del período informado (aaaa-mm-dd)</t>
  </si>
  <si>
    <t>Día final</t>
  </si>
  <si>
    <t>Fecha de finalización del período de reporte (aaaa-mm-dd)</t>
  </si>
  <si>
    <t>Este informe contiene divulgaciones del período de reporte anterior que permanecen sin cambios.</t>
  </si>
  <si>
    <t>Lista de revelaciones para las cuales no se reportan cambios en comparación con el informe del período anterior</t>
  </si>
  <si>
    <t>B1 - Base para la elaboración y otra información general del empresario</t>
  </si>
  <si>
    <t>Base para la preparación (Solo Módulo Básico o Módulo Básico y Comprensivo)</t>
  </si>
  <si>
    <t>Lista de divulgaciones omitidas consideradas como información clasificada o sensible</t>
  </si>
  <si>
    <t>Forma jurídica de la entidad</t>
  </si>
  <si>
    <t>Códigos de clasificación sectorial NACE</t>
  </si>
  <si>
    <t>Volumen del balance (total de activos) en</t>
  </si>
  <si>
    <t>Número de asalariados</t>
  </si>
  <si>
    <t>País de las operaciones principales y ubicación del activo o activos significativos</t>
  </si>
  <si>
    <t>Domicilio social</t>
  </si>
  <si>
    <t>B1 - Divulgación de certificación(es) o etiqueta(s) relacionada(s) con la sostenibilidad</t>
  </si>
  <si>
    <t>Descripción de certificación(es) o etiqueta(s) relacionada(s) con la sostenibilidad, incluyendo, cuando proceda, las entidades emisoras de la certificación o etiqueta, la fecha y la puntuación de la valoración</t>
  </si>
  <si>
    <t>B1 - Listado de emplazamiento(s)</t>
  </si>
  <si>
    <t xml:space="preserve">Geolocalización automática: Al activar la geolocalización automática de OpenStreetMaps con la casilla de verificación a continuación, la empresa declara ser plenamente consciente y acepta la Política de uso de Nominatim y la Política de privacidad.
OpenStreetMap® es datos abiertos licenciados bajo la Licencia Abierta de Bases de Datos (ODbL) de Open Data Commons por la Fundación OpenStreetMap (OSMF). Todos los datos pertenecen y son propiedad de OpenStreetMap®.
</t>
  </si>
  <si>
    <t>¿Ha establecido la empresa prácticas, políticas y/o iniciativas futuras específicas para la transición hacia una economía más sostenible?</t>
  </si>
  <si>
    <t>Cuestiones de sostenibilidad abordadas por prácticas, políticas y/o futuras iniciativas que la empresa ha implementado</t>
  </si>
  <si>
    <t>La empresa tiene una política de prácticas y/o una iniciativa futura que está disponible públicamente.</t>
  </si>
  <si>
    <t>La empresa ha establecido un objetivo que está relacionado con una política</t>
  </si>
  <si>
    <t>Agua y recursos marinos</t>
  </si>
  <si>
    <t>Trabajadores en la cadena de valor</t>
  </si>
  <si>
    <t>La participación efectiva de los trabajadores, usuarios u otras partes interesadas o colectivos en la gobernanza</t>
  </si>
  <si>
    <t>la inversión financiera en el capital o los activos de las entidades de economía social a que se refiere la Recomendación del Consejo de 29 de septiembre de 2023 (excluidas las donaciones y las contribuciones)</t>
  </si>
  <si>
    <t>Cualquier límite a la distribución de beneficios vinculado a la naturaleza mutualista o a la naturaleza de las actividades consistentes en servicios de interés económico general (SGEI)</t>
  </si>
  <si>
    <t>Descripción de una práctica, política y/o iniciativa futura hacia un futuro más sostenible (En caso de que la práctica, política o iniciativa futura incluya a proveedores o clientes, la entidad deberá mencionarlo)</t>
  </si>
  <si>
    <t>Descripción del objetivo relacionado con una política</t>
  </si>
  <si>
    <t>El nivel más alto dentro de sus empleados que es responsable de implementar las políticas cuando esto ha sido determinado por la empresa.</t>
  </si>
  <si>
    <t>Descripción de los mercados significativos en los que opera la empresa (por ejemplo, B2B, mayorista, minorista, países)</t>
  </si>
  <si>
    <t>Una descripción de las principales relaciones comerciales (proveedores clave, clientes, canales de distribución)</t>
  </si>
  <si>
    <t>¿Tiene la estrategia elementos clave que se relacionan o afectan a cuestiones de sostenibilidad?</t>
  </si>
  <si>
    <t>Divulgación de cualquier otra información general y/o específica de la entidad sobre el periodo de informe</t>
  </si>
  <si>
    <t>B3 – Consumo total de energía (en MWh)</t>
  </si>
  <si>
    <t xml:space="preserve">Consumo total de energía
</t>
  </si>
  <si>
    <t>Electricidad (según se refleja en las facturas de servicios)</t>
  </si>
  <si>
    <t>Electricidad autoproducida</t>
  </si>
  <si>
    <t>Combustibles (ver Convertidor de Combustibles en la hoja Combustibles)</t>
  </si>
  <si>
    <t>B3 – Emisiones brutas estimadas de gases de efecto invernadero considerando el Protocolo GEI versión 2004 (en tCO2e)</t>
  </si>
  <si>
    <t>C3 - Metas de reducción de GEI (en tCO2e)</t>
  </si>
  <si>
    <t>¿La empresa ha establecido objetivos de reducción de emisiones de gases de efecto invernadero (GHG)?</t>
  </si>
  <si>
    <t>Periodo de informe actual</t>
  </si>
  <si>
    <t>Año de referencia</t>
  </si>
  <si>
    <t>Reducción porcentual respecto al año base</t>
  </si>
  <si>
    <t>Emisiones brutas de GEI de Alcance 1</t>
  </si>
  <si>
    <t>Emisiones brutas de gases de efecto invernadero (GEI) de alcance 2 basadas en el mercado</t>
  </si>
  <si>
    <t>Emisiones totales de GEI de Alcance 1 y Alcance 2 (basadas en la ubicación)</t>
  </si>
  <si>
    <t>Emisiones totales de GEI de Alcance 1 y Alcance 2 (basadas en el mercado)</t>
  </si>
  <si>
    <t>3. Actividades relacionadas con el combustible y la energía (no incluidas en el Alcance 1 ni en el Alcance 2)</t>
  </si>
  <si>
    <t>7. Desplazamiento de empleados</t>
  </si>
  <si>
    <t>11. Uso de productos vendidos</t>
  </si>
  <si>
    <t>Emisiones totales de GEI de Alcance 3</t>
  </si>
  <si>
    <t>Emisiones totales de GEI de Alcance 1, Alcance 2 y Alcance 3 (basadas en la ubicación)</t>
  </si>
  <si>
    <t>Emisiones totales de gases de efecto invernadero de Alcance 1, Alcance 2 y Alcance 3 (basadas en el mercado)</t>
  </si>
  <si>
    <t>C3 - Divulgación de la lista de principales actuaciones que la entidad busca llevar a cabo para alcanzar sus metas</t>
  </si>
  <si>
    <t>C3 - Plan de transición para empresas que operan en sectores de alto impacto climático</t>
  </si>
  <si>
    <t>Estado de implementación de un plan de transición en relación con la mitigación del cambio climático</t>
  </si>
  <si>
    <t>Descripción de un plan de transición para la mitigación del cambio climático, incluida una explicación de cómo contribuye a reducir las emisiones de gases de efecto invernadero (GEI)</t>
  </si>
  <si>
    <t>Fecha prevista de adopción del plan de transición para la empresa que aún no ha adoptado un plan de transición</t>
  </si>
  <si>
    <t>B3 - Intensidad de las emisiones de gases de efecto invernadero por facturación (en tCO2e)</t>
  </si>
  <si>
    <t>Intensidad de las emisiones de GEI de Alcance 1 y Alcance 2 (basada en la ubicación)</t>
  </si>
  <si>
    <t>Intensidad de las emisiones de GEI de Alcance 1 y Alcance 2 (basado en el mercado)</t>
  </si>
  <si>
    <t>Intensidad total de emisiones de GEI Alcance 1, Alcance 2 y Alcance 3 (basada en la ubicación)</t>
  </si>
  <si>
    <t>Intensidad total de emisiones de GEI de Alcance 1, Alcance 2 y Alcance 3 (basada en el mercado)</t>
  </si>
  <si>
    <t>¿La empresa ya está legalmente obligada por la ley u otras normativas nacionales a informar a las autoridades competentes sobre sus emisiones de contaminantes o ya las informa voluntariamente conforme a un Sistema de Gestión Ambiental?</t>
  </si>
  <si>
    <t>¿Esta divulgación ya está públicamente disponible?</t>
  </si>
  <si>
    <t>Por favor, proporcione el enlace URL relevante o el hipervínculo donde se informa esta información.</t>
  </si>
  <si>
    <t>Por favor, seleccione la unidad utilizada para informar la cantidad (es decir, ya sea kg o tonelada)</t>
  </si>
  <si>
    <t>B5 – Emplazamientos en zonas sensibles en cuanto a la biodiversidad</t>
  </si>
  <si>
    <t xml:space="preserve">¿La empresa tiene emplazamientos situados en o cerca de zonas sensibles en cuanto a la biodiversidad? 
</t>
  </si>
  <si>
    <t>Por favor, seleccione la unidad que se utiliza para el área (es decir, hectáreas o m²):</t>
  </si>
  <si>
    <t>ID del sitio relacionado (seleccione un ID de una ubicación del sitio reportada en B1)</t>
  </si>
  <si>
    <t xml:space="preserve">Ubicación del sitio cerca de un área de biodiversidad - completado automáticamente desde B1
</t>
  </si>
  <si>
    <t>Área (hectáreas o m² según la selección anterior)</t>
  </si>
  <si>
    <t>Emplazamiento situado en una zona sensible en cuanto a la biodiversidad</t>
  </si>
  <si>
    <t>Emplazamiento situado cerca de una zona sensible en cuanto a la biodiversidad</t>
  </si>
  <si>
    <t>B5 - Biodiversidad - Uso del suelo</t>
  </si>
  <si>
    <t>Tipo de uso de la tierra</t>
  </si>
  <si>
    <t>Superficie sellada total</t>
  </si>
  <si>
    <t>Superficie total en el emplazamiento orientada según la naturaleza</t>
  </si>
  <si>
    <t>Superficie total fuera del emplazamiento orientada según la naturaleza</t>
  </si>
  <si>
    <t>Cantidad total de agua extraída de todos los emplazamientos (metros cúbicos m³)</t>
  </si>
  <si>
    <t>Cantidad de agua extraída en emplazamientos situados en zonas con un alto estrés hídrico (metros cúbicos m³)</t>
  </si>
  <si>
    <t xml:space="preserve">B6 - Consumo de agua
</t>
  </si>
  <si>
    <t xml:space="preserve">¿La empresa cuenta con procesos de producción que consumen una cantidad significativa de agua (por ejemplo, procesos de energía térmica como el secado o la producción de energía, producción de bienes, riego agrícola, etc.)? 
</t>
  </si>
  <si>
    <t>Vertido de agua procedente de los procesos de producción de la empresa (m³)</t>
  </si>
  <si>
    <t>B7 – Descripción de los principios de la economía circular</t>
  </si>
  <si>
    <t>La empresa divulgará si aplica los principios de la economía circular y, en caso afirmativo, cómo los aplica.</t>
  </si>
  <si>
    <t>Descripción de cómo se aplican estos principios</t>
  </si>
  <si>
    <t>B7 – Uso de los residuos generados</t>
  </si>
  <si>
    <t>Tipo de residuos</t>
  </si>
  <si>
    <t>Residuos dirigidos a eliminación</t>
  </si>
  <si>
    <t>Cantidad de residuos desviados para su reciclaje, reutilización y destinados a la eliminación</t>
  </si>
  <si>
    <t>Residuo peligroso total generado (masa)</t>
  </si>
  <si>
    <t>Residuos no peligrosos generados totales (masa)</t>
  </si>
  <si>
    <t>Residuos peligrosos generados totales (volumen)</t>
  </si>
  <si>
    <t>Residuos no peligrosos totales generados (volumen)</t>
  </si>
  <si>
    <t>Residuos totales generados (volumen)</t>
  </si>
  <si>
    <t>B7 – Flujo anual de masa de materiales relevantes utilizados</t>
  </si>
  <si>
    <t>¿Opera la empresa en un sector que utiliza flujos materiales significativos (por ejemplo, manufactura, construcción, embalaje u otros)?</t>
  </si>
  <si>
    <t>Flujo anual total de masa de materiales relevantes utilizados (masa en kg)</t>
  </si>
  <si>
    <t>Flujo anual total de masa de materiales relevantes utilizados (volumen en m³)</t>
  </si>
  <si>
    <t>¿La empresa ha identificado peligros relacionados con el clima y eventos de transición climática que crean riesgos climáticos brutos para la empresa?</t>
  </si>
  <si>
    <t>Descripción de peligros relacionados con el clima y eventos relacionados con la transición climática</t>
  </si>
  <si>
    <t>Divulgación de cómo ha evaluado la exposición y la sensibilidad de sus activos, actividades y cadena de valor a estos peligros y sucesos de transición.</t>
  </si>
  <si>
    <t>Divulgación sobre si ha emprendido actuaciones de adaptación al cambio climático con respecto a cualquier peligro y suceso de transición relacionado con el clima.</t>
  </si>
  <si>
    <t>La empresa podrá indicar los posibles efectos adversos de los riesgos climáticos que puedan afectar a su rendimiento financiero o a sus operaciones empresariales a corto, medio o largo plazo, indicando si considera que dichos riesgos son elevados, medios y bajos.</t>
  </si>
  <si>
    <t>Metodología para el recuento de empleados para las divulgaciones siguientes (Número de empleados o Equivalente a tiempo completo vinculado desde B1)</t>
  </si>
  <si>
    <t>Metodología de recuento de empleados para las divulgaciones siguientes (Al final del período de reporte o como un promedio durante el período de reporte vinculado desde B1)</t>
  </si>
  <si>
    <t>Total de asalariados (vinculados a B1)</t>
  </si>
  <si>
    <t>B8 – Trabajadores – Características generales – Género</t>
  </si>
  <si>
    <t>Femenino</t>
  </si>
  <si>
    <t>B8 – Trabajadores – Características generales - País de empleo</t>
  </si>
  <si>
    <t xml:space="preserve">País del contrato de trabajo
</t>
  </si>
  <si>
    <t>B8 – Trabajadores – Características generales - Tasa de rotación</t>
  </si>
  <si>
    <t>Número de empleados que abandonaron durante el periodo de referencia</t>
  </si>
  <si>
    <t>Número de empleados al inicio del período de informe</t>
  </si>
  <si>
    <t>Número de empleados al final del período de reporte</t>
  </si>
  <si>
    <t>Tasa de rotación de empleados [%] durante el período de informe</t>
  </si>
  <si>
    <t xml:space="preserve">B9 – Trabajadores – Salud y seguridad
</t>
  </si>
  <si>
    <t>Número de horas trabajadas por un empleado a tiempo completo en el período de informe</t>
  </si>
  <si>
    <t>Número total de horas trabajadas en un año por todos los empleados en el período de reporte</t>
  </si>
  <si>
    <t>Tasa de accidentes de trabajo registrables en el período de informe</t>
  </si>
  <si>
    <t>Número de muertes como consecuencia de lesiones y problemas de salud relacionados con el trabajo.</t>
  </si>
  <si>
    <t xml:space="preserve">B10 – Trabajadores – Retribución, negociación colectiva y formación
</t>
  </si>
  <si>
    <t>Los empleados reciben un sueldo que es igual o superior al salario mínimo aplicable determinado directamente por la ley nacional de salario mínimo o mediante un convenio colectivo.</t>
  </si>
  <si>
    <t>Nivel medio bruto de remuneración por hora de los empleados masculinos</t>
  </si>
  <si>
    <t>Nivel medio bruto de remuneración por hora de las empleadas</t>
  </si>
  <si>
    <t>Porcentaje de brecha salarial entre las empleadas y los empleados de la empresa [%]</t>
  </si>
  <si>
    <t>Número de horas anuales de formación por empleado durante el período de información</t>
  </si>
  <si>
    <t>Número medio anual de horas de formación por empleado</t>
  </si>
  <si>
    <t>Número de empleados masculinos a nivel directivo</t>
  </si>
  <si>
    <t>Número de empleadas a nivel directivo</t>
  </si>
  <si>
    <t>Ratio mujeres/hombres a nivel directivo para el período de informe</t>
  </si>
  <si>
    <t>Total de trabajadores por cuenta propia sin personal que trabajan exclusivamente para la empresa</t>
  </si>
  <si>
    <t>¿Dispone la empresa de un código de conducta o de una política de derechos humanos para su personal propio?</t>
  </si>
  <si>
    <t>Si es así, ¿cubriría esto:}</t>
  </si>
  <si>
    <t>· trata de seres humanos</t>
  </si>
  <si>
    <t>· otro? (en caso afirmativo especifique)</t>
  </si>
  <si>
    <t>Especifique otros tipos de contenido cubiertos por el código de conducta o la política de derechos humanos</t>
  </si>
  <si>
    <t>¿Dispone la empresa de un mecanismo de gestión de reclamaciones para su personal propio?</t>
  </si>
  <si>
    <t>C7 – Incidentes graves negativos de derechos humanos</t>
  </si>
  <si>
    <t>¿Ha confirmado la empresa incidentes entre su personal propio?</t>
  </si>
  <si>
    <t>Si es así, ¿los incidentes están relacionados con:}</t>
  </si>
  <si>
    <t>Especifique otros derechos humanos relacionados con los incidentes confirmados</t>
  </si>
  <si>
    <t>Descripción de las actuaciones llevadas a cabo para abordar los incidentes confirmados</t>
  </si>
  <si>
    <t>¿Está la empresa al tanto de algún incidente confirmado que involucre a trabajadores en la cadena de valor, comunidades afectadas, consumidores y usuarios finales?</t>
  </si>
  <si>
    <t>¿Tiene conocimiento la empresa de cualquier incidente confirmado en el que estén involucrados trabajadores de la cadena de valor, colectivos afectados, consumidores y usuarios finales? En caso afirmativo, especifíquese.</t>
  </si>
  <si>
    <t>Divulgación de cualquier otra divulgación social y/o específica de la entidad</t>
  </si>
  <si>
    <t>B11 — Condenas y multas por corrupción y soborno</t>
  </si>
  <si>
    <t>¿La empresa ha incurrido en condenas y multas en el período de referencia?</t>
  </si>
  <si>
    <t>Número total de condenas por infracción de las leyes anticorrupción y antisoborno</t>
  </si>
  <si>
    <t>Importe total de las multas por infringir las leyes anticorrupción y antisoborno.</t>
  </si>
  <si>
    <t>C8 – Ingresos de determinadas actividades</t>
  </si>
  <si>
    <t>Ingresos derivados del cultivo y la producción de tabaco</t>
  </si>
  <si>
    <t>empresas que obtienen el 10 % o más de sus ingresos de la exploración, extracción, distribución o refinación de combustibles derivados del petróleo</t>
  </si>
  <si>
    <t>Las empresas que obtengan un 50 % o más de sus ingresos de la prospección, la extracción, la fabricación o la distribución de combustibles gaseosos.</t>
  </si>
  <si>
    <t>Las empresas que obtengan un 50 % o más de sus ingresos de la generación de electricidad con una intensidad de gases de efecto invernadero superior a los 100 g CO2 e/kWh.</t>
  </si>
  <si>
    <t>Las empresas están excluidas de cualquier punto de referencia de la UE alineado con el Acuerdo de París.</t>
  </si>
  <si>
    <t xml:space="preserve">¿La empresa tiene un órgano de gobernanza establecido? 
</t>
  </si>
  <si>
    <t>Número de miembros femeninos del consejo al final del período de reporte</t>
  </si>
  <si>
    <t>Número de miembros masculinos del consejo al final del período de reporte</t>
  </si>
  <si>
    <t>Divulgación de cualquier otra información de gobernanza y/o divulgaciones específicas de gobernanza de la entidad</t>
  </si>
  <si>
    <t>AVISO LEGAL:</t>
  </si>
  <si>
    <t>Tenga en cuenta que se proporcionan los valores típicos para el Valor Calorífico Neto (NCV) y la Densidad para cada tipo de combustible. Sin embargo, estos parámetros pueden variar dependiendo de factores como las regulaciones nacionales, características específicas de los proveedores de combustible u otras circunstancias. Por lo tanto, se espera que los usuarios introduzcan o ajusten manualmente los valores de NCV y Densidad para reflejar su situación específica.</t>
  </si>
  <si>
    <t>Indica que la celda debe rellenarse bien seleccionando un valor del desplegable (por ejemplo, Tipo de combustible o Unidad de medida) o introduciendo una cantidad.</t>
  </si>
  <si>
    <t>Cantidad</t>
  </si>
  <si>
    <t>Estado de la materia</t>
  </si>
  <si>
    <t>Uso del Convertidor de Combustible:</t>
  </si>
  <si>
    <t>1. En la celda A9, seleccione el combustible utilizado, buscándolo o desplazándose por la lista mostrada y haciendo clic en la celda.</t>
  </si>
  <si>
    <t>Transfiera los resultados totales calculados a la celda de reporte B3 "Consumo de Energía por Combustible"</t>
  </si>
  <si>
    <t>Consumo total de energía [MWh]</t>
  </si>
  <si>
    <t>Consumo total de energía renovable [MWh]</t>
  </si>
  <si>
    <t>Consumo de energías no renovables [MWh]</t>
  </si>
  <si>
    <t xml:space="preserve">Energía [MWh] = Masa [t] * PCI [MWh/t] 
</t>
  </si>
  <si>
    <t>Energía [MWh] = Masa [t] * PCI [MWh/t]</t>
  </si>
  <si>
    <t>Desde</t>
  </si>
  <si>
    <t>Unidad de medida del conversor de masa</t>
  </si>
  <si>
    <t>Unidad de medida del Convertidor de Volumen</t>
  </si>
  <si>
    <t>Unidad de medida del consumo de energía por hora</t>
  </si>
  <si>
    <t xml:space="preserve">Unidad de medida del Convertidor de Densidad
</t>
  </si>
  <si>
    <t>Uso del Convertidor de Unidad de Medida</t>
  </si>
  <si>
    <t>Pasos a seguir para la tabla de Masa:</t>
  </si>
  <si>
    <t>En la celda B5 de la tabla relacionada con la Unidad de medida del Convertidor de Masa, debe insertarse la Unidad de medida a convertir.</t>
  </si>
  <si>
    <t>Luego, en la celda B6 se puede insertar la cantidad de masa.</t>
  </si>
  <si>
    <t>Finalmente, en la celda D5 debe estar la unidad de medida de interés.</t>
  </si>
  <si>
    <t>El resultado de la conversión se mostrará en la celda D6.</t>
  </si>
  <si>
    <t>Los pasos a seguir para las otras tablas (Volumen, Consumo de Energía, Densidad y NCV) son los mismos que para la tabla de Masa.</t>
  </si>
  <si>
    <t>▪ Unidad de medida del Convertidor de Masa:</t>
  </si>
  <si>
    <t>▪ Unidad de medida del Convertidor de Volumen:</t>
  </si>
  <si>
    <t>▪ Unidad de medida del Convertidor de Energía:</t>
  </si>
  <si>
    <t>▪ Unidad de medida del Convertidor de Densidad:</t>
  </si>
  <si>
    <t>▪ Unidad de medida del convertidor NCV:</t>
  </si>
  <si>
    <t>URL NO VÁLIDA</t>
  </si>
  <si>
    <t>ℹ️ Combustible líquido: por favor seleccione una unidad de medida entre m³ y L</t>
  </si>
  <si>
    <t xml:space="preserve">ℹ️ El identificador de entidad es un ID único que permitirá identificar a la empresa que ha informado la información. El Estándar VSME no requiere ningún identificador específico. Se requiere un identificador de entidad para la presentación digital. 
</t>
  </si>
  <si>
    <t>ℹ️ Si aparece el mensaje INCONSISTENCIA DE VALOR a la derecha, por favor asegúrese de que la fecha de finalización del período informado sea posterior a la fecha de inicio del período informado.</t>
  </si>
  <si>
    <t>ℹ️ Las listas pueden ampliarse usando el pequeño botón [+] a la izquierda. Si el número de filas no es suficiente, se pueden añadir haciendo clic derecho en la segunda fila y seleccionando "Insertar fila".</t>
  </si>
  <si>
    <t>ℹ️ Cuando se elige "otra" como forma jurídica de la empresa, por favor rellene la fila de abajo</t>
  </si>
  <si>
    <t>ℹ️ Por favor, tenga cuidado de separar cada número de calle y número de casa usando el símbolo de barra "/" y no la coma ",".</t>
  </si>
  <si>
    <t>ℹ️ Tenga en cuenta que la fórmula presente en esta celda puede ser sobrescrita en caso de que la empresa quiera proporcionar directamente el valor.</t>
  </si>
  <si>
    <t>ℹ️ Las categorías del Alcance 3 según el protocolo de GEI pueden ayudar a calcular las emisiones totales de GEI del Alcance 3. En caso de que la empresa lo desee, puede proporcionar directamente las emisiones totales de GEI del Alcance 3 en la celda correspondiente.</t>
  </si>
  <si>
    <t>ℹ️ Si se muestra una validación relacionada con la inconsistencia de valores, seleccione un ID de sitio diferente a uno de los seleccionados previamente.</t>
  </si>
  <si>
    <t>ℹ️ Por favor, asegúrese de que el número total de empleados sea el mismo que el proporcionado en la celda E55 de la hoja "Información General"</t>
  </si>
  <si>
    <t xml:space="preserve">ℹ️ La empresa puede modificar el valor en esta celda, ya que las 2.000 horas se basan en la suposición de que un trabajador a tiempo completo trabaja 2.000 horas al año. Esta cifra puede variar según el país o sector, dependiendo de las normas nacionales o convenios colectivos aplicables. 
</t>
  </si>
  <si>
    <t>0. Proporcione la información que es obligatoria para generar el informe VSME y XBRL.</t>
  </si>
  <si>
    <t>1. Rellene las revelaciones en las cuatro hojas de trabajo (Información General, Información Ambiental, Información Social, Información de Gobernanza) en las celdas blancas enmarcadas por un borde negro. No introduzca información fuera de esas celdas. La búsqueda en listas desplegables se puede hacer escribiendo en la celda. Se muestran sugerencias (mensajes de entrada) en varias celdas al seleccionarlas.</t>
  </si>
  <si>
    <t>3. Para tablas abiertas como la Lista de filiales/emplazamientos, por favor expanda los grupos haciendo clic en el icono de más [+] en el lado izquierdo. Si se necesitan más filas, se pueden agregar insertándolas entre la primera y la última fila. Los ID de fila en tablas abiertas deben permanecer únicos por tabla.</t>
  </si>
  <si>
    <t>6. El empresario también podrá subir el informe a repositorios públicos o a una página web.</t>
  </si>
  <si>
    <t>· C2 – Descripción de las prácticas, políticas e iniciativas futuras para la transición hacia una economía más sostenible</t>
  </si>
  <si>
    <t>ℹ️ Por favor, seleccione un código NACE en lugar de una categoría, de lo contrario aparecerá un mensaje de ERROR.</t>
  </si>
  <si>
    <t>ℹ️ Por favor seleccione un Tipo de residuo (Peligroso o No Peligroso) en lugar de una categoría, de lo contrario aparecerá un mensaje de ERROR.</t>
  </si>
  <si>
    <t>CORRECTO</t>
  </si>
  <si>
    <t>2. En la celda B9 seleccione la Unidad de medida utilizada</t>
  </si>
  <si>
    <t>3. En la celda C9 seleccione la Cantidad de combustible utilizado</t>
  </si>
  <si>
    <t>4. En la celda D9 se muestra el estado de la materia para el combustible seleccionado.</t>
  </si>
  <si>
    <t>5. En la celda E9 se muestra el carácter renovable típico para el combustible seleccionado.</t>
  </si>
  <si>
    <t>6. En la celda F9 se muestra la Energía producida en Mega Vatios hora por la Cantidad de Combustible especificada</t>
  </si>
  <si>
    <t>7. En la celda A28 se muestra la Energía Total en Mega Vatios hora</t>
  </si>
  <si>
    <t>8. En la celda A31 se muestra la Energía Renovable Total en Megavatios hora</t>
  </si>
  <si>
    <t>9. En la celda B31 se muestra la Energía No Renovable Total en Megavatios hora</t>
  </si>
  <si>
    <t>10. Más notas se pueden encontrar a continuación</t>
  </si>
  <si>
    <t>Las empresas quedan excluidas de los índices de referencia de la UE armonizados con el Acuerdo de París si derivan:</t>
  </si>
  <si>
    <t>C8 – Ingresos de determinadas actividades y exclusión de los índices de referencia de la UE</t>
  </si>
  <si>
    <t>Ingresos de determinadas actividades</t>
  </si>
  <si>
    <t>Spanish - Reviewed translation by Spanish Standard Setter</t>
  </si>
  <si>
    <t>Įmonės pavadinimas</t>
  </si>
  <si>
    <t>Įmonės identifikatorius</t>
  </si>
  <si>
    <t>Įmonės schema</t>
  </si>
  <si>
    <t>Dešimtainis skirtukas</t>
  </si>
  <si>
    <t>Ataskaitos laikotarpis</t>
  </si>
  <si>
    <t>Ataskaita sugeneruota</t>
  </si>
  <si>
    <t>Visi atskleidimai susiję su aukščiau nurodytu ataskaitiniu laikotarpiu, jei nėra nurodyta kitaip.</t>
  </si>
  <si>
    <t>Ataskaitos laikotarpis:</t>
  </si>
  <si>
    <t>Publikavimo data:</t>
  </si>
  <si>
    <t>Taksonomijos pradinė nuoroda</t>
  </si>
  <si>
    <t>Pasirinkite šablono rodymo kalbą:</t>
  </si>
  <si>
    <t>Ataskaitos antraštė</t>
  </si>
  <si>
    <t>VSME Skaitmeninis šablonas</t>
  </si>
  <si>
    <t>Šio skaitmeninio šablono tikslas yra parodyti, kaip VSME ataskaitų teikimas gali būti įgyvendintas skaitmeninėje formoje. Šablonas atspindi VSME rekomendaciją, kurią Europos Komisija paskelbė 2025 m. liepos 30 d. Šablonas pateikiamas kartu su skaitmenine VSME XBRL taksonomija, kuri atspindi skaitmeninį atskleidimų duomenų modelį ir yra prieinama EFRAG interneto svetainėje. VSME reikalauja pateikti palyginamąją informaciją apie įvairius rodiklius (12 pastraipa). Šis šablonas leidžia teikti ataskaitas tik už vieną ataskaitinį laikotarpį, todėl jis gali būti naudojamas tik pirmaisiais metais. Tikimasi, kad ataskaitų teikimo sprendimai ateityje leis perkelti duomenis iš vieno laikotarpio į kitą, o tai automatiškai suteiks reikiamą palyginamąją informaciją.
Šablonas gali būti naudojamas duomenims įvesti ir tikrinti. Naudojant XBRL konverterį EFRAG svetainėje, jį galima išsaugoti kaip XBRL ataskaitą, nemokamu ir atviru duomenų formatu.Excel pavadintosios sritys taikomos atskleidimų duomenų paėmimui. Langelių reikšmės, kurios yra tuščios ir neturi jokios vertės (nei teksto, nei skaičiaus), nebus laikomos pateiktomis ir nebus įtrauktos į XBRL ataskaitą naudojant „Excel-to-XBRL“ konverterį.
Kai kurie išskleidžiamieji meniu VSME šablone turi daugiau nei 100 įrašų (pvz., NACE kodai pagal B1, teršalų sąrašas pagal B4, atliekų sąrašas pagal B7). Kad būtų lengviau ieškoti sąraše, vartotojai gali tiesiog pradėti vesti raktažodį langelyje.
Jei rodomas saugumo įspėjimas, prašome pasirinkti „Įjungti turinį“, kad būtų galima automatiškai apskaičiuoti GPS koordinates objektų sąrašui pagal B1. Į internetą nebus siunčiama jokio kito turinio, išskyrus įvestą adresą, o su paslaugų teikėju dalijami duomenys reglamentuojami pagal „Nominatim“ naudojimo politiką (geokodavimo politika) ir privatumo politiką.
Visa EFRAG sekretoriato sukurta medžiaga yra platinama nemokamai ir kaip atvirojo kodo (MIT licencija), todėl bet kuris suinteresuotas subjektas gali ją tobulinti ir integruoti į komercinius sprendimus. Tačiau, laikantis licencijos sąlygų, būtina nurodyti EFRAG kaip šaltinį, jei ši medžiaga naudojama komerciniuose sprendimuose. Su MIT licencija galima susipažinti specialiame lape.
Jei norite pateikti klausimą dėl VSME skaitmeninio šablono arba skaitmeninio šablono konverterio į XBRL, tai galima padaryti sukuriant įrašą GitHub projekte.</t>
  </si>
  <si>
    <t>Kaip tai naudoti:</t>
  </si>
  <si>
    <t>0. Pateikite informaciją, kuri yra privaloma norint sukurti VSME ir XBRL ataskaitą.</t>
  </si>
  <si>
    <t>1. Užpildykite atskleidimus keturiuose darbalapiuose (Bendroji informacija, Aplinkos srities atskleidimai, Socialinės srities atskleidimai, Valdymo srities atskleidimai) baltuose langeliuose, apibrėžtuose juodu rėmeliu. Neveskite informacijos už šių langelių ribų. Išskleidžiamuosiuose sąrašuose galite ieškoti, įvesdami tekstą tiesiai į langelį. Pažymėjus kai kuriuos langelius, pasirodys trumpos užuominos.</t>
  </si>
  <si>
    <t>2. Daugiau informacijos apie faktinius atskleidimo reikalavimus rasite VSME standarte ir su kiekvienu langeliu susietose gairėse. Papildomi arba įmonei specifiniai atskleidimai gali būti pateikiami kiekvieno darbalapio pabaigoje esančiuose teksto laukeliuose.</t>
  </si>
  <si>
    <t>3. Atvirose lentelėse (pavyzdžiui, „dukterinių įmonių / vietų (objektų) sąrašas) grupes išskleiskite spustelėdami kairėje esantį piktogramą „+“. Jei reikia daugiau eilučių, jas pridėkite įterpdami tarp pirmosios ir paskutinės eilutės.  Eilučių ID atviruose lentelėse turi išlikti unikalūs kiekvienoje lentelėje.</t>
  </si>
  <si>
    <t>4. Patvirtinkite įvestus duomenis, patikrindami patikros būseną.
Ataskaita bus laikoma neišsamia arba klaidinga, jei patikra nepavyks, o tai gali lemti netinkamą XBRL ataskaitą.</t>
  </si>
  <si>
    <t>6. Įmonė taip pat gali įkelti ataskaitą į viešai prieinamas saugyklas arba interneto svetainę.</t>
  </si>
  <si>
    <t xml:space="preserve">Nurodo, kad atskleidimas yra iš VSME bendrųjų principų. 
</t>
  </si>
  <si>
    <t>Bazinis modulis</t>
  </si>
  <si>
    <t>Nurodo, kad atskleidimas pateiktas pagal VSME pagrindinį modulį.</t>
  </si>
  <si>
    <t>Išsamusis modulis</t>
  </si>
  <si>
    <t>Nurodo, kad atskleidimas pateikiamas pagal VSME Išsamųjį modulį.</t>
  </si>
  <si>
    <t>Langelyje automatiškai apskaičiuojama langelio vertė, todėl duomenų įvedimas nėra reikalingas.</t>
  </si>
  <si>
    <t>Nurodo, kad duomenų taškas (dažnai – sąlyga) nebus įtrauktas į VSME ir skaitmeninę XBRL ataskaitą. Šie langeliai pateikiami siekiant palengvinti atskleidimo pildymą, nes jie arba lemia atskleidimo taikomumą, arba leidžia automatiškai apskaičiuoti atskleidimą. Jei geltoni langeliai nenaudojami vertei apskaičiuoti, ataskaitoje teikiamą bendrą sumą galima įvesti rankiniu būdu, perrašant formulę.</t>
  </si>
  <si>
    <t>Nurodo, kad duomenų įvestis nereikalinga, nebent pačiame atskleidime pasirenkamos tam tikros loginės sąlygos. Pasirinkus vieną iš jų, šis langelis taps baltas.</t>
  </si>
  <si>
    <t xml:space="preserve">Patikrinimas TRŪKSTAMA REIKŠMĖ/KLAIDA/REIKŠMIŲ NESUTAPIMAS/NETEISINGAS URL </t>
  </si>
  <si>
    <t>Nurodo, kad duomenų įvedimas yra neteisingas (neatitinka formato reikalavimų) arba trūksta tam tikros informacijos, būtinos tinkamai pateikti atskleidimą.</t>
  </si>
  <si>
    <t>Nurodo, kad duomenų įvedimas yra teisingas ir įmonė gali toliau tęsti atskleidimą.</t>
  </si>
  <si>
    <t xml:space="preserve">Sąrašus galima išplėsti paspaudžiant kairėje esantį pliuso žymeklį [+]. Jei eilučių skaičius nepakankamas, papildomos eilutės gali būti įterpiamos dešiniuoju pelės mygtuku paspaudus antrą eilutę ir pasirinkus „Įterpti eilutę“.
</t>
  </si>
  <si>
    <t>EFRAG finansuojama Europos Sąjungos pagal Vieningos rinkos programą, kurioje taip pat dalyvauja EEE–ELPA šalys (Norvegija, Islandija ir Lichtenšteinas) bei Kosovas. Tačiau visos pateikiamos nuomonės ir požiūriai yra tik autoriaus (-ių) ir nebūtinai atspindi Europos Sąjungos, Europos Komisijos ar valstybių, dalyvaujančių Vieningos rinkos programoje, poziciją. Nei Europos Sąjunga, nei Europos Komisija, nei valstybės, dalyvaujančios Vieningos rinkos programoje, negali būti laikomos už jas atsakingomis.
© 2025 EFRAG. Visos teisės saugomos.</t>
  </si>
  <si>
    <t xml:space="preserve">Reprodukcijos ir naudojimo teisės yra griežtai ribotos. Dėl išsamesnės informacijos kreipkitės el. paštu efragsecretariat@efrag.org
</t>
  </si>
  <si>
    <t>Bendras patikrinimo statusas</t>
  </si>
  <si>
    <t>Turinio grupavimas atitinka šablono struktūrą</t>
  </si>
  <si>
    <t>Bendroji informacija</t>
  </si>
  <si>
    <t>· Informacija apie ataskaitą, reikalinga XBRL</t>
  </si>
  <si>
    <t>B1. Ataskaitos rengimo pagrindas</t>
  </si>
  <si>
    <t>Parengimo pagrindas ir kita įmonės bendroji infromacija</t>
  </si>
  <si>
    <t>Dukterinių įmonių sąrašas</t>
  </si>
  <si>
    <t>Tvarumo sertifikatų ir (ar) ženklų atskleidimas</t>
  </si>
  <si>
    <t>Vietų (objektų) sąrašas</t>
  </si>
  <si>
    <t>Praktikos, politikos ir būsimos iniciatyvos pereinant prie tvaresnės ekonomikos</t>
  </si>
  <si>
    <t>Kooperatyvams būdingi atskleidimai</t>
  </si>
  <si>
    <t>Aplinkosaugos atskleidimai</t>
  </si>
  <si>
    <t>· B3 – Energija ir šiltnamio efektą sukeliančios dujos</t>
  </si>
  <si>
    <t>Energijos suvartojimo pasiskirstymas (MWh)</t>
  </si>
  <si>
    <t>Įvertintas šiltnamio efektą sukeliančių dujų kiekis, atsižvelgiant į ŠESD protokolą, 2004 m. redakcija (t CO2e)</t>
  </si>
  <si>
    <t>Šiltnamio efektą sukeliančių dujų emisijų intensyvumas pagal apyvartą</t>
  </si>
  <si>
    <t>B4. Oro, vandens ir dirvožemio tarša</t>
  </si>
  <si>
    <t xml:space="preserve">B5. Biologinė įvairovė
</t>
  </si>
  <si>
    <t>Objektai biologinei įvairovei jautriose teritorijose</t>
  </si>
  <si>
    <t>Biologinė įvairovė – žemės sunaudojimas</t>
  </si>
  <si>
    <t>B6 – Vanduo</t>
  </si>
  <si>
    <t>Vandens išgavimas</t>
  </si>
  <si>
    <t>· B7 - Išteklių naudojimas, žiedinė ekonomika ir atliekų tvarkymas</t>
  </si>
  <si>
    <t>Metinis reikšmingų naudojamų medžiagų sunaudojimas</t>
  </si>
  <si>
    <t>Socialinių rodiklių atskleidimai</t>
  </si>
  <si>
    <t>B8 - Darbuotojai - Bendrieji rodikliai</t>
  </si>
  <si>
    <t>Sutarties tipas</t>
  </si>
  <si>
    <t>Šalis, kurioje dirbama</t>
  </si>
  <si>
    <t>B9 - Darbuotojai - Sveikata ir sauga</t>
  </si>
  <si>
    <t>B10 - Darbuotojai – Atlyginimas, kolektyvinės derybos ir mokymai</t>
  </si>
  <si>
    <t>Valdysenos rodiklių atskleidimai</t>
  </si>
  <si>
    <t>B11 - Nuosprendžiai ir baudos už korupciją ir kyšininkavimą</t>
  </si>
  <si>
    <t>IŠSAMUSIS MODULIS</t>
  </si>
  <si>
    <t>C1. Strategija: verslo modelis ir su tvarumu susijusios iniciatyvos</t>
  </si>
  <si>
    <t>C2. Perėjimo prie tvaresnės ekonomikos praktikų, politikos ir būsimų iniciatyvų aprašymas</t>
  </si>
  <si>
    <t>C3 – ŠESD emisijų mažinimo tikslai ir klimato perėjimo planas</t>
  </si>
  <si>
    <t>ŠESD mažinimo tikslai (tCO2e)</t>
  </si>
  <si>
    <t xml:space="preserve">Ataskaita apie pagrindinių priemonių sąrašą, kurias įmonė siekia įgyvendinti norėdama pasiekti savo tikslus
</t>
  </si>
  <si>
    <t>Perėjimo planas įmonėms, veikiančioms sektoriuose, kurių poveikis klimatui yra didelis</t>
  </si>
  <si>
    <t>C4 – Klimato rizikos</t>
  </si>
  <si>
    <t>· C5 - Papildomi (bendrieji) darbuotojų rodikliai</t>
  </si>
  <si>
    <t>C6 - Papildoma darbuotojų informacija - Žmogaus teisių politika ir procesai</t>
  </si>
  <si>
    <t>C7 - Dideli neigiami incidentai žmogaus teisių srityje</t>
  </si>
  <si>
    <t>Neįtraukimai į ES lyginamuosius etalonus</t>
  </si>
  <si>
    <t>C9 - Lyčių įvairovės rodiklis valdymo organe</t>
  </si>
  <si>
    <t>Papildomi atskleidimai</t>
  </si>
  <si>
    <t xml:space="preserve">· Ataskaitinio laikotarpio bet kokios kitos bendros ir/ar įmonės specifinės informacijos atskleidimas
</t>
  </si>
  <si>
    <t>· Bet kokie kit aplinkosauginiai ir/ar įmonės specifiniai aplinkosauginiai atskleidimai</t>
  </si>
  <si>
    <t>· Bet kokie kite socialiniai ir arba įmonei būdingi socialiniai atskleidimai</t>
  </si>
  <si>
    <t>· Kiti valdysenos ir/ar įmonės specifiniai valdysenos atskleidimai</t>
  </si>
  <si>
    <t>Gairių pastaipos nuoroda</t>
  </si>
  <si>
    <t>Vietoje</t>
  </si>
  <si>
    <t>[Privaloma visada pateikti]</t>
  </si>
  <si>
    <t>[Jei taikytina]</t>
  </si>
  <si>
    <t>[Gali būti pateikiama (neprivaloma)]</t>
  </si>
  <si>
    <t>Gali būti pateikiama (neprivaloma)</t>
  </si>
  <si>
    <t>[Privaloma visada pateikti + jei taikytina]</t>
  </si>
  <si>
    <t>[Jei taikytina, susieta su B2]</t>
  </si>
  <si>
    <t>kiekis/suma</t>
  </si>
  <si>
    <t>Informacija, reikalinga ataskaitai XBRL formatu</t>
  </si>
  <si>
    <t>Ataskaitą teikiančios įmonės pavadinimas</t>
  </si>
  <si>
    <t>Ataskaitą teikiančios įmonės identifikatorius (pasirinkti ir nurodyti dešinėje)</t>
  </si>
  <si>
    <t>Ataskaitoje naudojama valiuta</t>
  </si>
  <si>
    <t>Ataskaitiniai metai, prasidedantys (metai)</t>
  </si>
  <si>
    <t>Ataskaitiniai metai, prasidedantys (mėnuo)</t>
  </si>
  <si>
    <t>Ataskaitiniai metai, prasidedantys (diena)</t>
  </si>
  <si>
    <t>Ataskaitinio laikotarpio pradžia (yyyy-mm-dd)</t>
  </si>
  <si>
    <t>Ataskaitiniai metai, besibaigiantys (metai)</t>
  </si>
  <si>
    <t>Ataskaitiniai metai, besibaigiantys (mėnuo)</t>
  </si>
  <si>
    <t>Ataskaitiniai metai, besibaigiantys (diena)</t>
  </si>
  <si>
    <t>Ataskaitinio laikotarpio pabaiga (yyyy-mm-dd)</t>
  </si>
  <si>
    <t>Ši ataskaita įtraukia tuos ankstesnio ataskaitinio laikotarpio atskleidimus, kurie liko nepakitę</t>
  </si>
  <si>
    <t>Atskleidimų, dėl kurių nepateikta jokių pakeitimų, palyginti su ankstesnio laikotarpio ataskaita, sąrašas</t>
  </si>
  <si>
    <t>Nuoroda į ankstesnę ataskaitą, kurioje yra nepakitę atskleidimai</t>
  </si>
  <si>
    <t>B1 – Ataskaitos rengimo pagrindas ir kita įmonės bendroji informacija</t>
  </si>
  <si>
    <t>Ataskaitos rengimo pagrindas (tik Bazinis modulis arba Bazinis ir Išsamusis modulis)</t>
  </si>
  <si>
    <t>Nepateiktų atskleidimų, laikomų konfidencialia ar jautria informacija, sąrašas</t>
  </si>
  <si>
    <t>Atskaitomybės pagrindas (konsoliduota ar individuali)</t>
  </si>
  <si>
    <t>Įmonės teisinė forma</t>
  </si>
  <si>
    <t>NACE sektoriaus klasifikacijos kodas(-ai)</t>
  </si>
  <si>
    <t>Balanso dydis (turtas iš viso), matavimo vienetai</t>
  </si>
  <si>
    <t>Apyvarta (matavimo vienetai)</t>
  </si>
  <si>
    <t>Darbuotojų skaičiavimo metodika (skaičiuojama ataskaitinio laikotarpio pabaigoje ar išvedamas vidurkis per ataskaitinį laikotarpį)</t>
  </si>
  <si>
    <t>Darbuotojų skaičiavimo metodika (faktinis darbuotojų skaičius arba viso etato ekvivalentas)</t>
  </si>
  <si>
    <t>Šalis, kurioje vykdoma pagrindinė veikla ir reikšmingo turto buvimo vieta(-os)</t>
  </si>
  <si>
    <t>B1 - Dukterinių įmonių sąrašas</t>
  </si>
  <si>
    <t>Pavadinimas</t>
  </si>
  <si>
    <t>B1 - Su tvarumu susijusių sertifikatų ar ženklų atskleidimas</t>
  </si>
  <si>
    <t>Ar įmonė gavo kokių nors su tvarumu susijusių sertifikatų ar ženklų?</t>
  </si>
  <si>
    <t>Jeigu įmonė gavo kokį nors su tvarumu susijusį sertifikatą arba ženklą, ji turi pateikti trumpą jų aprašymą (įskaitant, kur tai aktualu, sertifikato arba ženklo išdavėjų, datą ir vertinimo balą).</t>
  </si>
  <si>
    <t>B1 - Objektų sąrašas</t>
  </si>
  <si>
    <t xml:space="preserve">Miestas
</t>
  </si>
  <si>
    <t>Šalis</t>
  </si>
  <si>
    <t>GPS Koordinatės (geolokacija)</t>
  </si>
  <si>
    <t>Automatinė geolokacija: įjungus „OpenStreetMap“ automatinę geolokaciją pažymint toliau esantį žymimąjį langelį, įmonė patvirtina, kad yra pilnai susipažinęs su Nominatim naudojimo politika ir privatumo politika ir joms pritaria.
„OpenStreetMap®“ yra atviri duomenys, licencijuojami pagal Open Data Commons Open Database License (ODbL), kurią suteikia OpenStreetMap Foundation (OSMF). Visi duomenys priklauso ir yra valdomi „OpenStreetMap®“.</t>
  </si>
  <si>
    <t>B2 - Praktikos, politikos priemonės ir būsimos iniciatyvos, skirtos perėjimui prie tvaresnės ekonomikos</t>
  </si>
  <si>
    <t>Ar įmonė yra įdiegusi konkrečias praktikas, politikas arba būsimas iniciatyvas siekiant pereiti prie tvaresnės ekonomikos?</t>
  </si>
  <si>
    <t xml:space="preserve">Tvarumo klausimai, kuriuos sprendžia praktikos politika ir (arba) būsimos iniciatyvos, kurias įmonė įgyvendino
</t>
  </si>
  <si>
    <t>Įmonė turi šiam tikslui skirtą praktikos politiką ir (arba) būsimą iniciatyvą, kuri yra viešai prieinama</t>
  </si>
  <si>
    <t>Įmonė yra nustačiusi tikslą, susijusį su šia politika</t>
  </si>
  <si>
    <t>Sava darbo jėga</t>
  </si>
  <si>
    <t>Paveiktos bendruomenės</t>
  </si>
  <si>
    <t>Verslo etika</t>
  </si>
  <si>
    <t>Aktyvus darbuotojų, naudotojų ar kitų suinteresuotųjų šalių ar bendruomenių dalyvavimas valdymo procesuose</t>
  </si>
  <si>
    <t>Finansinės investicijos į socialinės ekonomikos subjektų kapitalą ar turtą, nurodytą 2023 m. rugsėjo 29 d. Tarybos rekomendacijoje (išskyrus dovanas ir įnašus)</t>
  </si>
  <si>
    <t>Bet kokie pelno paskirstymo apribojimai, susiję su viešuoju interesu arba su veikla, kuria teikiamos bendrojo ekonominio intereso paslaugos (SGEI)</t>
  </si>
  <si>
    <t>C2 - Perėjimo prie tvaresnės ekonomikos praktikos, politikos ir būsimų iniciatyvų aprašymas</t>
  </si>
  <si>
    <t>Aprašymas apie praktikos politiką ir/ar būsimą iniciatyvą siekiant tvaresnės ateities (jei praktikos politika ar būsimą iniciatyvą apima tiekėjai ar klientai, įmonė privalo apie tai nurodyti)</t>
  </si>
  <si>
    <t>Aukščiausias darbuotojų hierarchijos lygmuo, atsakingas už politikų įgyvendinimą (jei tai yra įmonės nustatyta).</t>
  </si>
  <si>
    <t>C1 – Strategija: verslo modelis ir su tvarumu susijusios iniciatyvos</t>
  </si>
  <si>
    <t>Siūlomų reikšmingų produktų ir (ar) paslaugų grupių aprašymas</t>
  </si>
  <si>
    <t xml:space="preserve">Reikšmingų rinkų, kuriose įmonė veikia (pvz., B2B, didmeninė prekyba, mažmeninė prekyba, šalys), aprašymas
</t>
  </si>
  <si>
    <t>Pagrindinių verslo santykių aprašymas (pvz., pagrindiniai tiekėjai, klientai, paskirstymo kanalai)</t>
  </si>
  <si>
    <t>Ar strategijoje yra pagrindinių elementų, susijusių su tvarumo klausimais arba darančių jiems įtaką?</t>
  </si>
  <si>
    <t>Strategijos pagrindinių elementų, susijusių su tvarumu arba darančių jam įtaką, aprašymas</t>
  </si>
  <si>
    <t>Bet kokios kitos bendrosios ir (ar) įmonei specifinės informacijos apie ataskaitinį laikotarpį atskleidimas</t>
  </si>
  <si>
    <t>B3 – Bendras energijos suvartojimas (MWh)</t>
  </si>
  <si>
    <t>B3 - Energijos suvartojimo (MWh) išskaidymas</t>
  </si>
  <si>
    <t>Ar įmonė gavo reikalingą informaciją energijos suvartojimo išskaidymui pateikti?</t>
  </si>
  <si>
    <t xml:space="preserve">Atsinaujinanti energija </t>
  </si>
  <si>
    <t>Neatsinaujinanti energija</t>
  </si>
  <si>
    <t>Bendras atsinaujinančių ir neatsinaujinančių energijos šaltinių energijos kiekis</t>
  </si>
  <si>
    <t>Elektra (kaip nurodyta komunalinių paslaugų sąskaitose)</t>
  </si>
  <si>
    <t>Įmonės pasigaminta elektra</t>
  </si>
  <si>
    <t>Kuras (žr. „Kuro konverterį / konvertavimo skaičiuoklę“ darbalapyje „Kuras“)</t>
  </si>
  <si>
    <t>B3 – Apskaičiuotos šiltnamio efektą sukeliančių dujų emisijos, atsižvelgiant į 2004 m. ŠESD protokolo versiją (tCO2e)</t>
  </si>
  <si>
    <t>C3 – Šiltnamio efektą sukeliančių dujų mažinimo tikslai (tCO2e)</t>
  </si>
  <si>
    <t>Ar įmonė nusistatė ŠESD mažinimo tikslus?</t>
  </si>
  <si>
    <t>Baziniai (atskaitos) metai</t>
  </si>
  <si>
    <t>Procentinis sumažėjimas nuo atskaitos metų lygio</t>
  </si>
  <si>
    <t>Bendrosios pirmos apimties  ŠESD emisijos</t>
  </si>
  <si>
    <t>Bendrosios antros apimties ŠESD emisijos (vietos metodas)</t>
  </si>
  <si>
    <t>Bendrosios antros apimties ŠESD emisijos (rinkos metodas)</t>
  </si>
  <si>
    <t>Bendrosios pirmos apimties ir antros apimties (vietos metodas) ŠESD emisijos</t>
  </si>
  <si>
    <t>Ar įmonė atskleidžia specifinę informaciją apie 3 apimties emisijas (tCO2e)?</t>
  </si>
  <si>
    <t>1. Pirktos prekės ir paslaugos</t>
  </si>
  <si>
    <t>2. Kapitalinės prekės</t>
  </si>
  <si>
    <t>3. Su kuru ir energija susijusi veikla (neįtraukta į pirmą ar antrą ŠESD emisijų apimtį)</t>
  </si>
  <si>
    <t>4. Priešsrovinis transportavimas ir paskirstymas</t>
  </si>
  <si>
    <t>5. Atliekos, susidarančios vykdant veiklą</t>
  </si>
  <si>
    <t>7. Darbuotojų kelionės į ir iš darbo</t>
  </si>
  <si>
    <t>8.  Priešsrovinis išnuomotas turtas</t>
  </si>
  <si>
    <t>9. Pasrovinis transportavimas ir paskirstymas</t>
  </si>
  <si>
    <t>10. Parduotų produktų apdorojimas</t>
  </si>
  <si>
    <t>11. Parduotų produktų naudojimas</t>
  </si>
  <si>
    <t>12. Parduotų produktų tvarkymas gyvavimo ciklo pabaigoje</t>
  </si>
  <si>
    <t>13. Pasrovinis išnuomotas turtas</t>
  </si>
  <si>
    <t>Investicijos</t>
  </si>
  <si>
    <t>Bedrosiosios trečios apimties (ŠESD) emisijos</t>
  </si>
  <si>
    <t>Bendrosios pirmos, antros (vietos metodu) ir trečios apimties ŠESD emisijos</t>
  </si>
  <si>
    <t>Bendrosios pirmos, antros (rinkos metodu) ir trečios apimties ŠESD emisijos</t>
  </si>
  <si>
    <t>C3 – Pagrindinių veiksmų, kuriuos įmonė numato įgyvendinti siekdama savo tikslų, sąrašo atskleidimas</t>
  </si>
  <si>
    <t>C3 – Perėjimo planas įmonėms, veikiančioms didelio poveikio klimatui sektoriuose</t>
  </si>
  <si>
    <t>Ar įmonė veikia didelio poveikio klimatui sektoriuose?</t>
  </si>
  <si>
    <t>Perėjimo plano įgyvendinimo statusas klimato kaitos švelninimo atžvilgiu</t>
  </si>
  <si>
    <t xml:space="preserve">Kklimato kaitos sušvelninimo pereinamojo laikotarpio plano aprašymas, įskaitant paaiškinimą, kaip jis prisideda prie ŠESD emisijų mažinimo
</t>
  </si>
  <si>
    <t>Numatoma pereinamojo plano patvirtinimo data įmonei, kuri dar nėra pasitvirtinusi pereinamojo plano</t>
  </si>
  <si>
    <t>B3 - Šiltnamio efektą sukeliančių dujų (ŠESD) intensyvumas pagal apyvartą (tCO2e)</t>
  </si>
  <si>
    <t>Pirmos ir antros apimties (vietos metodu) ŠESD emisijų intensyvumas</t>
  </si>
  <si>
    <t>Pirmos ir antros apimties (rinkos metodu) ŠESD emisijų intensyvumas</t>
  </si>
  <si>
    <t>Bendras pirmos, antros (vietos metodu) ir trečios apimties ŠESD emisijų intensyvumas</t>
  </si>
  <si>
    <t>Bendras pirmos, antros (rinkos metodu) ir trečios apimties ŠESD emisijų intensyvumas</t>
  </si>
  <si>
    <t>Ar ūkio subjektas jau pagal įstatymą ar kitus nacionalinius reglamentus privalo pranešti kompetentingoms institucijoms apie teršalų išmetimą ar jau savanoriškai apie juos praneša pagal Aplinkos valdysenos sistemą?</t>
  </si>
  <si>
    <t>Prašome nurodyti aktualią nuorodą (URL) į šios informacijos skelbimo vietą</t>
  </si>
  <si>
    <t>Pasirinkite matavimo vienetą, kuriuo pateiksite kiekį (t. y. kg arba t).</t>
  </si>
  <si>
    <t>Išmetimas į orą</t>
  </si>
  <si>
    <t>Išmetimas į vandenį</t>
  </si>
  <si>
    <t>Išmetimas į dirvožemį</t>
  </si>
  <si>
    <t>B5 - Veiklos objektai biologinei įvairovei jautriose teritorijose</t>
  </si>
  <si>
    <t>Ar įmonė turi veiklos objektų, kurie yra biloginei įvairovei jautriose teritorijose arba netoli jų?</t>
  </si>
  <si>
    <t>Pasirinkite ploto matavimo vienetą (t. y. ha arba m²):</t>
  </si>
  <si>
    <t>Susijusios vietos (objekto) ID (pasirinkite ID iš B1 nurodytų vietų)</t>
  </si>
  <si>
    <t>Objekto buvimas biologinės įvairovės teritorijoje ar šalia jos – automatiškai perkelta iš B1</t>
  </si>
  <si>
    <t>Plotas (ha arba m², pagal aukščiau pasirinktą vienetą)</t>
  </si>
  <si>
    <t>Objektas yra biologinei įvairovei jautrioje teritorijoje</t>
  </si>
  <si>
    <t>Objektas yra šalia biologinei įvairovei jautrios teritorijos</t>
  </si>
  <si>
    <t>Plotas</t>
  </si>
  <si>
    <t>Bendras nepralaidžios dangos plotas</t>
  </si>
  <si>
    <t>Bendras gamtai palankių teritorijų plotas objekto teritorijoje</t>
  </si>
  <si>
    <t>Bendras gamtai palankių teritorijų plotas ne objekto teritorijoje</t>
  </si>
  <si>
    <t>B6 – Vandens išgavimas</t>
  </si>
  <si>
    <t>Bendras vandens kiekis, paimtas iš visų vietovių (kubiniais metrais m³)</t>
  </si>
  <si>
    <t>Imamo vandens kiekis vietose, esančiose didelio vandens stygiaus zonose (kubiniais metrais m³)</t>
  </si>
  <si>
    <t>B6 – Vandens suvartojimas</t>
  </si>
  <si>
    <t>Ar įmonė turi gamybos procesus, kurie reikšmingai sunaudoja vandenį (pvz., terminės energijos procesai, tokie kaip džiovinimas ar elektros energijos gamyba, prekių gamyba, žemės ūkio laistymas ir pan.)?</t>
  </si>
  <si>
    <t>Vandens išleidimas iš įmonės gamybos procesų (m³)</t>
  </si>
  <si>
    <t xml:space="preserve">Aprašymas, kaip taikomi šie principai
</t>
  </si>
  <si>
    <t>B7 - Išmetamųjų atliekų kiekis</t>
  </si>
  <si>
    <t>Atliekos, perduotos utilizavimui</t>
  </si>
  <si>
    <t>Perdirbtų, pakartotinai panaudotų ir šalinimui nukreiptų atliekų kiekis</t>
  </si>
  <si>
    <t>Bendras susidariusių pavojingųjų atliekų kiekis (masė)</t>
  </si>
  <si>
    <t>Bendras nepavojingų atliekų kiekis (masė)</t>
  </si>
  <si>
    <t>Bendras atliekų kiekis (masė)</t>
  </si>
  <si>
    <t>Bendras pavojingų atliekų susidarymo kiekis (tūris)</t>
  </si>
  <si>
    <t>Bendras nepavojingų atliekų kiekis (tūris)</t>
  </si>
  <si>
    <t>B7 – Sunaudotų reikšmingų medžiagų kiekis</t>
  </si>
  <si>
    <t>Ar įmonė veikia sektoriuje, kuriame naudojami didelės apimties medžiagų srautai (pvz., gamyba, statyba, pakuočių sektorius ir kt.)?</t>
  </si>
  <si>
    <t>Reikšmingos medžiagos pavadinimas</t>
  </si>
  <si>
    <t>Masė / Tūris</t>
  </si>
  <si>
    <t>Bendras metinis reikšmingų naudojamų medžiagų masės srautas (masė, kg)</t>
  </si>
  <si>
    <t>Bendras metinis reikšmingų naudojamų medžiagų srautas (tūris, m³)</t>
  </si>
  <si>
    <t>C4 - Klimato rizikos</t>
  </si>
  <si>
    <t>Ar įmonė nustatė su klimatu susijusias ir pereinamojo laikotarpio rizikas?</t>
  </si>
  <si>
    <t>Klimato ir pereinamojo laikotarpio rizikų aprašymai</t>
  </si>
  <si>
    <t>Atskleidimas, kaip įmonė įvertino savo turto, veiklos ir vertės grandinės poveikį bei jautrumą šioms klimato rizikoms ir pereinamojo laikotarpio įvykiams</t>
  </si>
  <si>
    <t>Nustatytų su klimatu susijusių ir pereinamojo laikotarpio rizikų laiko horizontai</t>
  </si>
  <si>
    <t>Atskleidimas, ar įmonė ėmėsi klimato kaitos prisitaikymo veiksmų dėl bet kokių su klimatu susijusių ir pereinamojo laikotarpio rizikų</t>
  </si>
  <si>
    <t>Įmonė gali atskleisti galimą neigiamą su klimatu susijusios rizikos poveikį, kuris gali turėti įtakos jos finansiniams veiklos rezultatams arba verslo veiklai trumpuoju, vidutinės trukmės ar ilguoju laikotarpiu, nurodydama, ar, jos vertinimu, rizika yra didelė, vidutinė ar maža.</t>
  </si>
  <si>
    <t>Atskleidimas apie bet kokius kitus aplinkosauginius ir/ar įmonei būdingus aplinkos atskleidimus</t>
  </si>
  <si>
    <t>Darbuotojų skaičiavimo metodika žemiau pateikiamoms ataskaitoms (darbuotojų skaičius arba pilno darbo laiko ekvivalentas, susietas su B1)</t>
  </si>
  <si>
    <t>Darbuotojų skaičiavimo metodika toliau pateikiamoms atskleidimo dalims (ataskaitinio laikotarpio pabaigoje arba kaip vidurkis per ataskaitinį laikotarpį, susietą su B1)</t>
  </si>
  <si>
    <t>B8 –Sava darbo jėga – Bendrieji rodikliai - Sutarties rūšis</t>
  </si>
  <si>
    <t>Terminuota sutartis</t>
  </si>
  <si>
    <t>Bendras darbuotojų skaičius (susijęs su B1)</t>
  </si>
  <si>
    <t>B8 – Sava darbo jėga – Bendrieji rodikliai – Lytis</t>
  </si>
  <si>
    <t>Vyrai</t>
  </si>
  <si>
    <t>Moterys</t>
  </si>
  <si>
    <t>Kita</t>
  </si>
  <si>
    <t>Nenurodyta</t>
  </si>
  <si>
    <t>B8 – Sava darbo jėga – Bendrieji rodikliai - Darbo sutarties šalis</t>
  </si>
  <si>
    <t>Šalis, kurioje sudaryta darbo sutartis</t>
  </si>
  <si>
    <t>B8 – Sava darbo jėga– Bendrieji rodikliai – Darbuotojų kaita</t>
  </si>
  <si>
    <t>Įmonę per ataskaitinį laikotarpį palikusių darbuotojų skaičius</t>
  </si>
  <si>
    <t>B9 – Sava darbo jėga – Sveikata ir sauga</t>
  </si>
  <si>
    <t>Registruotinų su darbu susijusių nelaimingų atsitikimų skaičius ataskaitiniame laikotarpyje</t>
  </si>
  <si>
    <t>Dirbtų valandų skaičius vienam visą darbo laiką dirbančiam darbuotojui ataskaitiniame laikotarpyje</t>
  </si>
  <si>
    <t>Visų darbuotojų per metus išdirbtų valandų bendras skaičius (ataskaitiniu laikotarpiu)</t>
  </si>
  <si>
    <t>Registruotinų su darbu susijusių nelaimingų atsitikimų dažnis ataskaitiniu laikotarpiu</t>
  </si>
  <si>
    <t>B10 – Sava darbo jėga – Atlyginimas, kolektyvinės derybos ir mokymai</t>
  </si>
  <si>
    <t>Darbuotojai gauna užmokestį, kuris yra lygus arba didesnis už taikomą minimalųjį darbo užmokestį, nustatytą tiesiogiai pagal nacionalinį minimaliojo darbo užmokesčio įstatymą arba per kolektyvinę sutartį.</t>
  </si>
  <si>
    <t>Vidutinis darbuotojų vyrų valandinis užmokestis neatskaičius mokesčių</t>
  </si>
  <si>
    <t>Vidutinis darbuotojų moterų valandinis užmokestis neatskaičius mokesčių</t>
  </si>
  <si>
    <t>Moterų ir vyrų darbuotojų atlygio skirtumas procentais [%]</t>
  </si>
  <si>
    <t>Vidutinis metinis mokymo valandų skaičius vienam darbuotojui ataskaitiniu laikotarpiu</t>
  </si>
  <si>
    <t>Vidutinis metinių mokymų valandų skaičius vienam darbuotojui</t>
  </si>
  <si>
    <t>C5 - Papildomi (bendrieji) darbo jėgos rodikliai</t>
  </si>
  <si>
    <t>Vyrų darbuotojų skaičius vadovaujančiose pareigose</t>
  </si>
  <si>
    <t>Morerų darbuotojų skaičius vadovaujančiose pareigose</t>
  </si>
  <si>
    <t>Vadovų/vadovaujančias pareigas einančių moterų ir vyrų santykis ataskaitiniu laikotarpiu</t>
  </si>
  <si>
    <t>Iš viso savarankiškai dirbančių (ne darbuotojų), dirbančių tik šiai įmonei, skaičius</t>
  </si>
  <si>
    <t>Iš viso darbuotojų, dirbančių per laikinojo įdarbinimo agentūras, skaičius</t>
  </si>
  <si>
    <t>C6 – Papildoma savos darbo jėgos informacija – Žmogaus teisių politika ir procesai</t>
  </si>
  <si>
    <t>Ar įmonė turi savos darbo jėgos elgesio kodeksą arba žmogaus teisių politiką?</t>
  </si>
  <si>
    <t>Jei taip, ar tai apima:</t>
  </si>
  <si>
    <t>Vaikų darbas</t>
  </si>
  <si>
    <t>· prekyba žmonėmis</t>
  </si>
  <si>
    <t>· nelaimingų atsitikimų prevencija</t>
  </si>
  <si>
    <t>kita? (TAIP/NE; jei taip, nurodykite)</t>
  </si>
  <si>
    <t>Nurodykite kitas temas / sritis, kurias apima elgesio kodeksas arba žmogaus teisių politika.</t>
  </si>
  <si>
    <t>Ar yra įdiegtas skundų nagrinėjimo mechanizmas darbuotojams?</t>
  </si>
  <si>
    <t>C7 – Sunkūs neigiami žmogaus teisių pažeidimų atvejai</t>
  </si>
  <si>
    <t>Ar įmonėje yra įvykę incidentų savo darbuotojų tarpe?</t>
  </si>
  <si>
    <t>Jei taip, ar incidentai susiję su:</t>
  </si>
  <si>
    <t>Nurodykite kitas žmogaus teises, susijusias su įvykusiais incidentais.</t>
  </si>
  <si>
    <t>Įvykusiems incidentams spręsti atliktų veiksmų aprašymas</t>
  </si>
  <si>
    <t>Ar įmonei žinoma apie kokius nors įvykusius incidentus, susijusius su vertės grandinės darbuotojais, paveiktomis bendruomenėmis, vartotojais ir galutiniais naudotojais?</t>
  </si>
  <si>
    <t>Bet kurio įvykusio incidento, susijusio su vertės grandinės darbuotojais, paveiktomis bendruomenėmis, vartotojais ir galutiniais naudotojais, aprašymas.</t>
  </si>
  <si>
    <t>Bet kokių kitų socialinių atskleidimų ir (ar) įmonei specifinių socialinių atskleidimas.</t>
  </si>
  <si>
    <t>B11 – Nuosprendžiai ir baudos už korupciją ir kyšininkavimą</t>
  </si>
  <si>
    <t>Ar įmonė buvo apkaltinta ir nubausta ataskaitiniu laikotarpiu?</t>
  </si>
  <si>
    <t>Bendras nuobaudų skaičius už korupcijos ir kyšininkavimo įstatymų pažeidimus</t>
  </si>
  <si>
    <t>Baudų suma už korupcijos ir kyšininkavimo įstatymų pažeidimus</t>
  </si>
  <si>
    <t>C8 – Pajamos iš tam tikrų veiklų</t>
  </si>
  <si>
    <t>Ar įmonė gauna pajamas iš vienos iš žemiau išvardytų veiklų?</t>
  </si>
  <si>
    <t>Piniginė suma (Eurais)</t>
  </si>
  <si>
    <t>Pajamos, gautos iš prieštaringai vertinamų ginklų (pėstininkų minų, kasetinių sprogstamųjų užtaisų, cheminių ir biologinių ginklų).</t>
  </si>
  <si>
    <t xml:space="preserve">Pajamos, gautos iš tabako auginimo ir gamybos
</t>
  </si>
  <si>
    <t>Pajamos, gautos iš naftos</t>
  </si>
  <si>
    <t>Pajamos, gautos iš dujų</t>
  </si>
  <si>
    <t xml:space="preserve">Visos pajamos, gautos iš iškastinio kuro (anglių, naftos ir dujų) sektoriaus (t. y. įmonė gauna pajamas iš iškastinio kuro, apibrėžto Europos Parlamento ir Tarybos reglamento (ES) 2018/1999 2 straipsnio 62 punkte, žvalgymo, kasybos, gavybos, gamybos, apdorojimo, saugojimo, perdirbimo arba platinimo, įskaitant transportavimą, saugojimą ir prekybą) .
</t>
  </si>
  <si>
    <t>Pajamos, gautos iš cheminių medžiagų gamybos</t>
  </si>
  <si>
    <t>C8 – Neįtraukimas į ES lyginamuosius etalonus</t>
  </si>
  <si>
    <t>Įmonės yra neįtraukiamos į ES Paryžiaus susitarimui pritaikytus etalonus, jei jos gauna pajamas iš:</t>
  </si>
  <si>
    <t>1 % ar daugiau savo pajamų iš akmens anglių ir lignito žvalgybos, kasybos, gavybos, paskirstymo ar perdirbimo</t>
  </si>
  <si>
    <t>Įmonės, kurios gauna 10 % ar daugiau pajamų iš naftos žvalgybos, gavybos, paskirstymo ar perdirbimo.</t>
  </si>
  <si>
    <t xml:space="preserve">Įmonės, gaunančios 50 % ar daugiau pajamų iš dujinio kuro žvalgybos, gavybos, gamybos ar paskirstymo
</t>
  </si>
  <si>
    <t>Įmonės, gaunančios 50 % ar daugiau pajamų iš elektros energijos gamybos, kurios ŠESD intensyvumas yra didesnis nei 100 g CO2 e/kWh</t>
  </si>
  <si>
    <t>Niekas iš aukščiau išvardytų</t>
  </si>
  <si>
    <t>Įmonės neįtraukiamos į jokius su Paryžiaus susitarimu suderintus ES lyginamuosius etalonus</t>
  </si>
  <si>
    <t>Ar įmonė yra įsteigusi valdymo organą?</t>
  </si>
  <si>
    <t>Kitų (įskaitant įmonei specifinių) valdymo atskleidimų pateikimas</t>
  </si>
  <si>
    <t>Kuro kovertavimo įrankis</t>
  </si>
  <si>
    <t>Paaiškinimas</t>
  </si>
  <si>
    <t>Šis kuro konvertavimo įrankis skirtas parodyti, kaip galima apskaičiuoti energijos suvartojimą (MWh) iš įvairių kuro rūšių. EFRAG neprisiima jokios atsakomybės už turinį ar už tiesiogines, netiesiogines ar atsitiktines pasekmes ar žalą, atsiradusią naudojant šį įrankį.</t>
  </si>
  <si>
    <t>Atkreipkite dėmesį, kad kiekvienam kuro tipui pateikiamos grynosios šilumingumo vertės (NCV) ir tankio reikšmės. Tačiau šie parametrai gali skirtis priklausomai nuo nacionalinių reikalavimų, konkrečių kuro tiekėjų ypatumų ar kitų aplinkybių. Todėl naudotojai turėtų rankiniu būdu įvesti arba pakoreguoti NCV ir tankio reikšmes, kad jos atspindėtų jų konkrečią situaciją.</t>
  </si>
  <si>
    <t>Be to, vartotojai raginami nustatyti kiekvieno kuro atsinaujinamumo statusą, remdamiesi kilmės garantijomis, kaip nurodyta Europos Parlamento ir Tarybos Direktyvos 2018/2001/ES 19 straipsnyje dėl atsinaujinančių energijos išteklių naudojimo skatinimo. Kiekvieno kuro numatytasis atsinaujinamumo statusas yra tipinė prielaida ir, jei reikia, jis turėtų būti koreguojamas atsižvelgiant į geografines ar individualias aplinkybes.</t>
  </si>
  <si>
    <t>Nurodo, kad langelis turi būti užpildytas pasirenkant reikšmę iš išskleidžiamojo sąrašo (pvz., kuro tipą arba matavimo vienetą) arba įvedant kiekį.</t>
  </si>
  <si>
    <t>Degalų rūšis</t>
  </si>
  <si>
    <t>Kiekis</t>
  </si>
  <si>
    <t>Medžiagos būsena</t>
  </si>
  <si>
    <t>Įprasta atsinaujinančios energijos būsena</t>
  </si>
  <si>
    <t>Apskaičiuota energija (MWh)</t>
  </si>
  <si>
    <t>Kuro kovertavimo įrankio naudojimas:</t>
  </si>
  <si>
    <t>1. Langelyje A9 pasirinkite naudojamą kurą, ieškodami jo arba slinkdami žemyn rodomame sąraše spustelėdami langelį.</t>
  </si>
  <si>
    <t>3. Langelyje C9 pasirinkite sunaudoto kuro kiekį</t>
  </si>
  <si>
    <t>Langelyje D9 rodoma pasirinkto kuro būsena</t>
  </si>
  <si>
    <t>5. Langelyje E9 rodoma pasirinkto kuro tipinė atsinaujinamumo būsena.</t>
  </si>
  <si>
    <t>Langelyje F9 pateikiama energija, pagaminta megavatvalandėmis pagal nurodytą degalų kiekį.</t>
  </si>
  <si>
    <t>Langelyje A28 pateikiama bendroji energija megavatvalandėmis</t>
  </si>
  <si>
    <t>Langelyje A31 rodoma bendro atsinaujinančios energijos, išreikštos megavatvalandėmis, suma.</t>
  </si>
  <si>
    <t>Langelyje B31 rodoma bendroji neatsinaujinančios energijos suma megavatvalandėmis (MWh)</t>
  </si>
  <si>
    <t>10. Priklausomai nuo įmonės vykdomos veiklos rūšies, tikslinga įtraukti į šį standartą neįtrauktą papildomą informaciją (parametrus ir (arba) aprašomąją atskleistiną informaciją), kad būtų galima atskleisti tvarumo klausimus, dažnai pasitaikančius įmonės sektoriuje (t. y. tuos, su kuriais paprastai susiduria įmonės ar subjektai, veikiantys konkrečiame sektoriuje ar srityje) arba būdingus būtent šiai įmonei, nes tai padeda parengti aktualią, tikslią, palyginamą, suprantamą ir patikrinamą informaciją. Tai apima ir svarstymą, ar reikia atskleisti informaciją apie išmestą 3 lygio ŠESD kiekį (žr. šio standarto 50–53 straipsnius). B priedėlyje pateikiamas galimų tvarumo klausimų sąrašas.</t>
  </si>
  <si>
    <t>Perkelkite bendrą apskaičiuotą rezultatą į B3 „Kuro energijos suvartojimas“ ataskaitos langelį</t>
  </si>
  <si>
    <t>Atsinaujinančiųjų išteklių energija (MWh)</t>
  </si>
  <si>
    <t>Bendras neatsinaujinančios energijos suvartojimas [MWh]</t>
  </si>
  <si>
    <t>Tolimesnės pastabos:</t>
  </si>
  <si>
    <t xml:space="preserve">Įrankis siūlo galimybę vienu metu apskaičiuoti iki 10 skirtingų kuro rūšių. Norėdami tai padaryti, išplėskite paslėptas stulpelius naudodami pliuso piktogramą dokumento viršuje.
Kiekvienas išplėstas kuro įrankis veikia tiksliai taip, kaip aprašyta aukščiau.
Svarbu pažymėti, kad automatinis kuro konverterio atliktas skaičiavimas naudojant tipinius tos kuro rūšies NCV ir tankius. Jei įmonė gali pateikti konkrečius naudojamų kuro šaltinių NCV ir tankius, yra galimybė apskaičiuoti energijos suvartojimą per valandą (MWh), integruojant konkrečias vertes į formules, kurios yra automatizuotos kuro konverterio lape.
Žemiau pateiktos formulės tuo atveju, jei pageidaujama naudoti neautomatizuotą skaičiavimą su konkrečiomis vertėmis, o ne konverterio sprendimą. Jei jums reikia konvertuoti specifinių matavimų matavimo vienetus, naudokite matavimo vienetų įrankį. 
</t>
  </si>
  <si>
    <t>Kietojo kuro energijos suvartojimas per valandą (MWh):</t>
  </si>
  <si>
    <t>Energija [MWh] = Masė [t] * NCV [MWh/t]</t>
  </si>
  <si>
    <t>Skystųjų degalų energijos suvartojimas per valandą MWh:</t>
  </si>
  <si>
    <t>Energija [MWh] = Masė [t] * [MWh/t]</t>
  </si>
  <si>
    <t>Energijos suvartojimas per valandą MWh dujiniams kurams:</t>
  </si>
  <si>
    <t>Matavimo vienetų keitiklis</t>
  </si>
  <si>
    <t>Nuo</t>
  </si>
  <si>
    <t>Masės konverterio matavimo vienetas</t>
  </si>
  <si>
    <t>Tūrio konverterio matavimo vienetas</t>
  </si>
  <si>
    <t>NVC konverterio matavimo vienetas</t>
  </si>
  <si>
    <t>Tankio konverterio matavimo vienetas</t>
  </si>
  <si>
    <t>Matavimo vienetų konverterio naudojimas</t>
  </si>
  <si>
    <t>Veiksmai, kuriuos reikia atlikti masės lentelėje:</t>
  </si>
  <si>
    <t>1. Lentelės langelyje B5 („Masės konverterio vienetas“) įrašykite tą matavimo vienetą, kurį norite konvertuoti.</t>
  </si>
  <si>
    <t>2. Tada langelyje B6 įrašykite masės kiekį.</t>
  </si>
  <si>
    <t>3. Galiausiai langelyje D5 nurodykite atitinkamą matavimo vienetą.</t>
  </si>
  <si>
    <t>Konvertavimo rezultatas bus rodomas langelyje D6.</t>
  </si>
  <si>
    <t xml:space="preserve">
Kitoms lentelėms (tūrio, energijos suvartojimo, tankio ir NCV) taikomi tie patys žingsniai kaip masės lentelei.</t>
  </si>
  <si>
    <t>Žemiau pateikiami visų lentelių matavimo vienetų konvertavimai.</t>
  </si>
  <si>
    <t>Energijos konverterio matavimo vienetas</t>
  </si>
  <si>
    <t>NEBAIGTA</t>
  </si>
  <si>
    <t>BAIGTA</t>
  </si>
  <si>
    <t>TRŪKSTAMA REIKŠMĖ</t>
  </si>
  <si>
    <t>VERTĖS NESUTAPIMAS</t>
  </si>
  <si>
    <t>KLAIDA + VERTĖS NESUTAPIMAS</t>
  </si>
  <si>
    <t>KLAIDA + TRŪKSTAMA REIKŠMĖ + VERTĖS NENUOSEKLUMAS</t>
  </si>
  <si>
    <t>KLAIDA + TRŪKSTAMA VERTĖ</t>
  </si>
  <si>
    <t>TRŪKSTAMA REIKŠMĖ + VERTĖS NEATITIKIMAS</t>
  </si>
  <si>
    <t>NETINKAMAS URL</t>
  </si>
  <si>
    <t>TINKAMA</t>
  </si>
  <si>
    <t>ℹ️ Skystas kuras: pasirinkite vieną matavimo vienetą iš m³ ir L</t>
  </si>
  <si>
    <t>ℹ️ Kietasis kuras: pasirinkite vieną matavimo vienetą tarp Gg, t, kg ir g</t>
  </si>
  <si>
    <t>ℹ️ Dujinis kuras: pasirinkite vieną matavimo vienetą tarp m³ ir L</t>
  </si>
  <si>
    <t>ℹ️ Įmonės identifikatorius yra unikalus ID, kuris leis identifikuoti įmonę, kuri pateikė informaciją. VSME standartas nereikalauja jokio konkretaus identifikatoriaus. Įmonės identifikatorius yra privalomas skaitmeniniam ataskaitų teikimui.</t>
  </si>
  <si>
    <t>ℹ️ Jei dešinėje pusėje pasirodys ŽINUTĖ APIE VERTĖS NESUTAPIMĄ, įsitikinkite, kad ataskaitinio laikotarpio pabaigos data yra vėlesnė už ataskaitinio laikotarpio pradžios datą.</t>
  </si>
  <si>
    <t>ℹ️ Sąrašai gali būti išplėsti paspaudus mažą mygtuką [+] kairėje. Jei eilučių skaičius yra nepakankamas, jas galima pridėti dešiniuoju pelės klavišu spustelėjus antrą eilutę ir pasirinkus "Įterpti eilutę".</t>
  </si>
  <si>
    <t>ℹ️ Jei įmonės teisinė forma pasirenkama „kita“, užpildykite žemiau esančią eilutę.</t>
  </si>
  <si>
    <t>ℹ️ Pasirinkite NACE kodą, o ne kategoriją; priešingu atveju bus rodomas KLAIDOS pranešimas.</t>
  </si>
  <si>
    <t>ℹ️ Prašome atidžiai atskirti kiekvieną gatvės numerį ir namo numerį naudojant pasvirąjį brūkšnį "/" o ne kablelį ",".</t>
  </si>
  <si>
    <t>ℹ️ Atkreipkite dėmesį, kad šiame langelyje esanti formulė gali būti perrašyta, jei įmonė nori reikšmę pateikti tiesiogiai.</t>
  </si>
  <si>
    <t>ℹ️ Trečios apimties kategorijos pagal ŠESD protokolą gali padėti apskaičiuoti bendras trečios apimties ŠESD emisijas. Jei įmonė pageidauja, jis gali tiesiogiai pateikti bendras trečios apimties ŠESD emisijas atitinkamame langelyje.</t>
  </si>
  <si>
    <t>ℹ️ Jei rodoma vertės neatitikimo susijusi patikra, pasirinkite kitokį svetainės ID nei anksčiau pasirinkti.</t>
  </si>
  <si>
    <t>ℹ️ Prašome pasirinkti atliekų rūšį (pavojingas arba nepavojingas), o ne kategoriją, kitaip bus parodytas KLAIDOS pranešimas.</t>
  </si>
  <si>
    <t>ℹ️ Prašome įsitikinti, kad bendras darbuotojų skaičius yra toks pat, kaip nurodyta skiltyje „Bendroji informacija“, langelyje E55</t>
  </si>
  <si>
    <t>ℹ️ Įmonė gali pakeisti šios langelio vertę, nes 2 000 valandų yra pagrįsta prielaida, kad vienas visą darbo dieną dirbantis darbuotojas per metus dirba 2 000 valandų. Šis skaičius gali skirtis priklausomai nuo šalies ar sektoriaus, atsižvelgiant į nacionalinius teisės aktus arba kolektyvines sutartis.</t>
  </si>
  <si>
    <t>Lithuanian - Reviewed translation by Lithuanian Standard Setter</t>
  </si>
  <si>
    <t>C8 – Pajamos iš tam tikrų veiklų ir neįtraukimai į ES lyginamuosius etalonus</t>
  </si>
  <si>
    <t>Pajamos iš tam tikrų veiklų</t>
  </si>
  <si>
    <t>template_label_does_the_undertaking_operate_in_a_sector_using_significant_material_flows</t>
  </si>
  <si>
    <t>Preparado de conformidad con la Norma Voluntaria de Información sobre Sostenibilidad para pequeñas y medianas empresas (VSME), publicada por la Comisión Europea el 30 de julio de 2025.</t>
  </si>
  <si>
    <t>5. Convierte esta plantilla en un informe Inline XBRL (o XBRL-JSON, XBRL-CSV) utilizando el convertidor en línea. Presta atención a la validación XBRL realizada por el validador.</t>
  </si>
  <si>
    <t>Przygotowano zgodnie z Dobrowolnym Standardem Sprawozdawczości Zrównoważonego Rozwoju dla małych i średnich przedsiębiorstw (VSME), opublikowanym przez Komisję Europejską w dniu 30 lipca 2025 r.</t>
  </si>
  <si>
    <t>5. Przekonwertuj ten uzupełniony szablon na raport Inline XBRL (lub XBRL-JSON, XBRL-CSV) korzystając z konwertera online. Zwróć uwagę na walidację XBRL przeprowadzaną przez walidator.</t>
  </si>
  <si>
    <t>Parengta laikantis Smulkių ir vidutinių įmonių savanoriškojo tvarumo ataskaitų teikimo standarto (VSME), kurį 2025 m. liepos 30 d. paskelbė Europos Komisija.</t>
  </si>
  <si>
    <t>5. Šį šabloną konvertuokite į Inline XBRL ataskaitą (arba XBRL-JSON, XBRL-CSV), naudodami internetinį konvertavimo įrankį. Atkreipkite dėmesį į XBRL patikros rezultatus, kuriuos pateikia tikrinimo įrankis.</t>
  </si>
  <si>
    <t>Nome da Entidade</t>
  </si>
  <si>
    <t>Identificador da Entidade</t>
  </si>
  <si>
    <t>Esquema de Identificador da Entidade</t>
  </si>
  <si>
    <t>Moeda de reporte</t>
  </si>
  <si>
    <t>Todas as divulgações respeitam ao período de reporte acima, salvo indicação em contrário.</t>
  </si>
  <si>
    <t>Ponto de entrada na taxonomia:</t>
  </si>
  <si>
    <t>Selecionar idioma de exibição do modelo:</t>
  </si>
  <si>
    <t>Como usar:</t>
  </si>
  <si>
    <t>0. Forneça as informações que são obrigatórias para gerar o Relatório VSME e XBRL.</t>
  </si>
  <si>
    <t>4. Validar os dados introduzidos, verificando o estado da validação. O relatório é considerado incompleto ou incorreto se a validação falhar, podendo resultar num relatório XBRL inválido.</t>
  </si>
  <si>
    <t>Índice da cor de fundo da célula:</t>
  </si>
  <si>
    <t>Indica que a divulgação se baseia nos princípios gerais do VSME.</t>
  </si>
  <si>
    <t>Módulo de base</t>
  </si>
  <si>
    <t>Indica que a divulgação é proveniente do Módulo Básico VSME.</t>
  </si>
  <si>
    <t>Indica que a célula é calculada automaticamente e que não é necessária a introdução de dados.</t>
  </si>
  <si>
    <t>Indica que o dado (frequentemente uma condição) não será incluído no relatório VSME e no relatório digital XBRL. Estas células são fornecidas para facilitar a conclusão da divulgação, pois ou acionam a aplicabilidade da divulgação ou permitem o cálculo automático da divulgação. Se as células amarelas não estiverem a ser utilizadas para calcular um valor, o total a ser reportado pode ser inserido manualmente, sobrescrevendo a fórmula.</t>
  </si>
  <si>
    <t>Indica que não é necessário inserir dados, a menos que certas lógicas sejam selecionadas na própria divulgação. Quando uma dessas lógicas é selecionada, esta célula ficará branca.</t>
  </si>
  <si>
    <t>Validação VALOR EM FALTA/ERRO/INCONSISTÊNCIA DE VALOR/URL INVÁLIDO</t>
  </si>
  <si>
    <t xml:space="preserve">Indica que a introdução dos dados está incorreta em termos de formato ou que faltam certas informações para relatar corretamente a divulgação. 
</t>
  </si>
  <si>
    <t xml:space="preserve">Indica que a introdução dos dados está correta e que a empresa pode avançar para a próxima divulgação.
</t>
  </si>
  <si>
    <t xml:space="preserve">As the exact sentence "Lists can be expanded using the plus [+] button on the left. If the number of rows is not sufficient, additional rows can be added by right clicking the second row and selecting "Insert row"." is not found exactly in the uploaded English or Portuguese files, I will create a Portuguese translation that is consistent with the terminology and style from the files.
Translation:
"As listas podem ser expandidas utilizando o botão de mais [+] à esquerda. Se o número de linhas não for suficiente, linhas adicionais podem ser inseridas clicando com o botão direito na segunda linha e selecionando 'Inserir linha'."
</t>
  </si>
  <si>
    <t>A EFRAG é financiada pela União Europeia através do Programa do Mercado Único, do qual participam os países do EEE-AEFA (Noruega, Islândia e Liechtenstein), bem como o Kosovo. Quaisquer opiniões expressas são, contudo, apenas dos autores e não refletem necessariamente as da União Europeia, da Comissão Europeia ou dos países que participam no Programa do Mercado Único. Nem a União Europeia, nem a Comissão Europeia, nem os países participantes do Programa do Mercado Único podem ser responsabilizados por essas opiniões. © 2025 EFRAG Todos os direitos reservados.</t>
  </si>
  <si>
    <t xml:space="preserve">"Os direitos de reprodução e utilização são estritamente limitados. Para mais informações, contacte efragsecretariat@efrag.org" 
</t>
  </si>
  <si>
    <t>Estado Global da Validação</t>
  </si>
  <si>
    <t>Agrupamento de conteúdos segue a estrutura do modelo</t>
  </si>
  <si>
    <t>Estado de Validação de Conteúdo Específico</t>
  </si>
  <si>
    <t xml:space="preserve">Informação Geral
</t>
  </si>
  <si>
    <t>Informações no relatório necessárias para XBRL</t>
  </si>
  <si>
    <t>· Informação sobre o período de reporte anterior</t>
  </si>
  <si>
    <t>Base para a elaboração e informações gerais da empresa</t>
  </si>
  <si>
    <t>Listas das subsidiárias</t>
  </si>
  <si>
    <t>Divulgação de certificação(s) ou selo(s) relacionado(s) com a sustentabilidade</t>
  </si>
  <si>
    <t>Lista de locais</t>
  </si>
  <si>
    <t>B2 — Práticas, políticas e iniciativas futuras para a transição para uma economia mais sustentável</t>
  </si>
  <si>
    <t>Divulgações específicas das cooperativas</t>
  </si>
  <si>
    <t>Consumo Total de Energia (em MWh)</t>
  </si>
  <si>
    <t>Desagregação do consumo de energia (em MWh)</t>
  </si>
  <si>
    <t>Emissões brutas estimadas de gases com efeito de estufa tendo em consideração o Protocolo GEE Versão 2004 (em teCO2)</t>
  </si>
  <si>
    <t>B4 — Poluição do ar, da água e do solo</t>
  </si>
  <si>
    <t>Locais em zonas sensíveis do ponto de vista da biodiversidade</t>
  </si>
  <si>
    <t>Captação de água</t>
  </si>
  <si>
    <t>Consumo de Água</t>
  </si>
  <si>
    <t>Desperdício gerado</t>
  </si>
  <si>
    <t>Fluxo mássico anual dos materiais relevantes utilizados</t>
  </si>
  <si>
    <t>Divulgações Sociais</t>
  </si>
  <si>
    <t>B9 — Mão-de-obra — Saúde e segurança</t>
  </si>
  <si>
    <t>Divulgações de Governança</t>
  </si>
  <si>
    <t>Módulo abrangente</t>
  </si>
  <si>
    <t>· C1 - Estratégia: Modelo de negócio e sustentabilidade — Iniciativas conexas</t>
  </si>
  <si>
    <t>· C3 - Objetivos de redução de GEE e transição climática</t>
  </si>
  <si>
    <t>Divulgação de lista com as principais ações que a entidade pretende executar para atingir os seus objetivos</t>
  </si>
  <si>
    <t>C4 – Riscos climáticos</t>
  </si>
  <si>
    <t>· C5 - Características adicionais (gerais) da mão-de-obra</t>
  </si>
  <si>
    <t xml:space="preserve">C6 — Informações adicionais sobre a própria mão-de-obra — Políticas e processos em matéria de direitos humanos
  </t>
  </si>
  <si>
    <t>· C7 - Incidentes negativos graves em matéria de direitos humanos</t>
  </si>
  <si>
    <t>Divulgações Adicionais</t>
  </si>
  <si>
    <t>Divulgação de quaisquer outras informações gerais e/ou específicas da entidade sobre o período de relato</t>
  </si>
  <si>
    <t>Divulgação de quaisquer outras informações ambientais e/ou de informações ambientais específicas da entidade</t>
  </si>
  <si>
    <t>Divulgação de quaisquer outras informações sociais e/ou de informações sociais específicas da entidade</t>
  </si>
  <si>
    <t>Divulgação de quaisquer outras informações de governação e/ou de informações de governação específicas da entidade</t>
  </si>
  <si>
    <t>Referência do parágrafo</t>
  </si>
  <si>
    <t>Referência de Orientação do Parágrafo</t>
  </si>
  <si>
    <t>para</t>
  </si>
  <si>
    <t>[Sempre a ser reportado]</t>
  </si>
  <si>
    <t>Pode ser (opcional)</t>
  </si>
  <si>
    <t>Sempre a ser reportado + Se aplicável</t>
  </si>
  <si>
    <t>[Se aplicável, ligado ao B2]</t>
  </si>
  <si>
    <t>montante em</t>
  </si>
  <si>
    <t>Nome da entidade que reporta</t>
  </si>
  <si>
    <t>Identificador da entidade que reporta (selecione e especifique à direita)</t>
  </si>
  <si>
    <t>Moeda em que os valores monetários do relatório estão expressos</t>
  </si>
  <si>
    <t>Ano de início</t>
  </si>
  <si>
    <t>Mês de início</t>
  </si>
  <si>
    <t>Ano de término</t>
  </si>
  <si>
    <t>Data final do período de reporte (aaaa-mm-dd)</t>
  </si>
  <si>
    <t>Informação sobre o período de reporte anterior</t>
  </si>
  <si>
    <t>Este relatório contém divulgações do período de relato anterior que permanecem inalteradas</t>
  </si>
  <si>
    <t>Lista de divulgações para as quais não se reportam alterações em relação ao período de relato anterior</t>
  </si>
  <si>
    <t>Ligação para o relatório anterior com as divulgações que permanecem inalteradas</t>
  </si>
  <si>
    <t>Base de preparação (apenas Módulo Básico ou Módulo Básico e Abrangente</t>
  </si>
  <si>
    <t>Lista de divulgações omitidas consideradas informação classificada ou sensível</t>
  </si>
  <si>
    <t>Base de reporte (consolidada ou individual)</t>
  </si>
  <si>
    <t>Forma jurídica da empresa</t>
  </si>
  <si>
    <t>Especificação da forma jurídica de outra entidade</t>
  </si>
  <si>
    <t xml:space="preserve">Código(s) NACE de classificação setorial </t>
  </si>
  <si>
    <t>Valor do balanço (total de ativos) em</t>
  </si>
  <si>
    <t>Número de trabalhadores</t>
  </si>
  <si>
    <t>Metodologia de contagem de trabalhadores (No final do período de relato ou como média durante o período de relato)</t>
  </si>
  <si>
    <t>Metodologia de contagem de trabalhadores (Número de efetivos ou Equivalente a tempo completo)</t>
  </si>
  <si>
    <t>País das operações principais e localização do(s) ativo(s) significativo(s)</t>
  </si>
  <si>
    <t>Sede social</t>
  </si>
  <si>
    <t>B1 - Divulgação de certificação(ões) ou selo(s) relacionados com a sustentabilidade</t>
  </si>
  <si>
    <t>A empresa obteve alguma certificação ou selo relacionado com a sustentabilidade?</t>
  </si>
  <si>
    <t xml:space="preserve">Descrição das certificações ou selos relacionados com a sustentabilidade, incluindo, quando relevante, os emissores das certificações ou selos, a data e a pontuação atribuída.
</t>
  </si>
  <si>
    <t>B1 - Lista de locais</t>
  </si>
  <si>
    <t>Morada</t>
  </si>
  <si>
    <t>Geolocalização automática: ao ativar a geolocalização automática do OpenStreetMaps com a caixa de seleção abaixo, a empresa declara estar plenamente ciente e aceitar a Política de Utilização do Nominatim e a Política de Privacidade .
O OpenStreetMap® é um conjunto de dados abertos licenciado sob a Open Data Commons Open Database License (ODbL) pela OpenStreetMap Foundation (OSMF). Todos os dados pertencem e são propriedade do OpenStreetMap®</t>
  </si>
  <si>
    <t>A empresa adotou práticas específicas, políticas e/ou iniciativas futuras para a transição para uma economia mais sustentável?</t>
  </si>
  <si>
    <t>Questões de sustentabilidade abordadas por uma política prática e/ou iniciativas futuras que a empresa tenha implementado</t>
  </si>
  <si>
    <t>A empresa tem uma política prática e/ou iniciativa futura que está disponível publicamente</t>
  </si>
  <si>
    <t>A empresa fixou um objetivo relacionado com uma política</t>
  </si>
  <si>
    <t>Alterações climáticas</t>
  </si>
  <si>
    <t>Água e recursos marinhos</t>
  </si>
  <si>
    <t>Mão de obra própria</t>
  </si>
  <si>
    <t>Conduta empresarial</t>
  </si>
  <si>
    <t xml:space="preserve">O objetivo deste modelo digital é ilustrar como o relatório VPME pode ser implementado num modelo digital. O modelo reflete a Recomendação VPME conforme publicada pela Comissão Europeia em 30 de julho de 2025. O modelo é acompanhado por uma taxonomia digital VPME XBRL, que representa o modelo de dados digital das divulgações e está disponível no site da EFRAG. A VPME requer a divulgação de informações comparativas sobre métricas (parágrafo 12). Este modelo permite a elaboração de relatórios para apenas um período de reporte. Portanto, pode ser utilizado apenas para reporte no primeiro ano. Espera-se que as soluções de reporte permitam o avanço dos períodos de reporte, o que forneceria automaticamente as informações comparativas necessárias.
Este modelo pode ser usado para introdução e validação de dados. Ao usar um Conversor XBRL no site da EFRAG, pode ser salvo como um relatório XBRL, num formato de dados livre e aberto. Intervalos selecionados do Excel são usados para extrair as divulgações. Células de valor que estão vazias e não têm nenhum valor (nem texto nem número) não serão consideradas como reportadas e não serão incluídas no relatório XBRL ao usar o conversor Excel-para-XBRL.
Alguns menus de seleção de opção de escolha na VPME têm mais de 100 opções (por exemplo, os códigos NACE sob B1, a lista de poluentes sob B4, a lista de resíduos sob B7). Para procurar na lista, os utilizadores podem simplesmente começar a digitar palavras-chave de pesquisa na célula.
Se for exibido um aviso de segurança, por favor "Ative o Conteúdo" para permitir o cálculo automático das coordenadas GPS para a lista de locais sob B1. Nenhum conteúdo além do endereço inserido será enviado para a Internet e os conteúdos partilhados com o provedor podem ser encontrados na Política de Uso do Nominatim (Política de Geocodificação) e na Política de Privacidade.
Todos os materiais desenvolvidos pela Secretaria da EFRAG são disponibilizados gratuitamente e como código aberto (licença MIT), o que permitirá a qualquer parte interessada melhorá-los e integrá-los em soluções comerciais. No entanto, respeitando as condições da licença, a referência à EFRAG deve ser mencionada pelos fornecedores dessas soluções comerciais. É possível consultar a Licença MIT na folha específica.
Se desejar relatar um problema com o Modelo Digital VPME ou com o Conversor Digital para XBRL, por favor faça-o criando um problema no projeto GitHub.
</t>
  </si>
  <si>
    <t xml:space="preserve">Objetivos de redução de emissões de GEE (em tCO2₂e)
</t>
  </si>
  <si>
    <t>B1 - Base de preparação e outras informações gerais da entidade</t>
  </si>
  <si>
    <t>Trabalhadores na cadeia de valor</t>
  </si>
  <si>
    <t>A participação efetiva dos trabalhadores, utilizadores ou outras partes interessadas ou comunidades na governação</t>
  </si>
  <si>
    <t>O investimento financeiro no capital ou nos ativos das entidades da economia social a que se refere a Recomendação do Conselho de 29 de setembro de 2023 (excluindo donativos e contribuições)</t>
  </si>
  <si>
    <t>Quaisquer limites à distribuição de lucros ligados à natureza mutualista ou à natureza das atividades que consistem em serviços de interesse económico geral (SIEG)</t>
  </si>
  <si>
    <t>C2 — Descrição das práticas, políticas e iniciativas futuras para a transição para uma economia mais sustentável</t>
  </si>
  <si>
    <t>Descrição de uma prática, política e/ou iniciativa futura para um futuro mais sustentável (Caso a prática, política ou iniciativa futura abranja fornecedores ou clientes, a empresa deve mencioná-lo)</t>
  </si>
  <si>
    <t>Descrição do objetivo relacionado com uma política</t>
  </si>
  <si>
    <t>O nível mais senior dentro dos seus empregados que é responsável pela implementação das políticas quando tal tenha sido determinado pela empresa</t>
  </si>
  <si>
    <t>C1 — Estratégia: Modelo de negócio e sustentabilidade — Iniciativas conexas</t>
  </si>
  <si>
    <t>Descrição dos grupos significativos de produtos disponibilizados e/ou serviços prestados</t>
  </si>
  <si>
    <t>Descrição dos mercados significativos em que a empresa atua (por exemplo, B2B, venda por grosso, venda a retalho, países)</t>
  </si>
  <si>
    <t>Descrição das principais relações comerciais (como os principais fornecedores, clientes, canais de distribuição)</t>
  </si>
  <si>
    <t>A estratégia tem elementos fundamentais que estão relacionados com, ou que afetam, questões de sustentabilidade?</t>
  </si>
  <si>
    <t>Descrição desses elementos fundamentais da estratégia que se relacionam com, ou que afetam, questões de sustentabilidade</t>
  </si>
  <si>
    <t>Divulgação de qualquer outra informação geral e/ou específica da entidade sobre o período de relato</t>
  </si>
  <si>
    <t>B3 — Consumo total de energia (em MWh)</t>
  </si>
  <si>
    <t>B3 — Repartição do consumo de energia (em MWh)</t>
  </si>
  <si>
    <t>A empresa obteve a informação necessária para fornecer uma discriminação do consumo de energia?</t>
  </si>
  <si>
    <t>Eletricidade (conforme refletida nas faturas de serviços públicos)</t>
  </si>
  <si>
    <t>Eletricidade de produção própria</t>
  </si>
  <si>
    <t>Combustíveis (ver Conversor de Combustíveis na folha Combustíveis)</t>
  </si>
  <si>
    <t xml:space="preserve">B3 – Emissões estimadas de gases com efeito de estufa considerando o Protocolo GEE Versão 2004 (em teCO2) 
</t>
  </si>
  <si>
    <t>C3 - Metas de redução de GEE (em tCO2e)</t>
  </si>
  <si>
    <t>A empresa estabeleceu metas de redução das emissões de GEE?</t>
  </si>
  <si>
    <t>Período de Relato Atual</t>
  </si>
  <si>
    <t>Ano-alvo</t>
  </si>
  <si>
    <t>Redução percentual em relação ao ano base</t>
  </si>
  <si>
    <t>Emissões brutas de gases com efeito de estufa (GEE) de âmbito 1</t>
  </si>
  <si>
    <t>Emissões brutas de âmbito 2 de GEE  baseadas na localização</t>
  </si>
  <si>
    <t>Emissões brutas de âmbito 2 de GEE  baseadas no mercado</t>
  </si>
  <si>
    <t>Emissões Totais de GEE de Âmbito 1 e Âmbito 2 (baseadas na localização)</t>
  </si>
  <si>
    <t>Emissões totais de GEE de Âmbito 1 e Âmbito 2 (baseadas no mercado)</t>
  </si>
  <si>
    <t>A empresa está a divulgar informações específicas sobre emissões do Âmbito 3 (em tCO2e)?</t>
  </si>
  <si>
    <t>2. Bens de Equipamento</t>
  </si>
  <si>
    <t>3. Atividades Relacionadas com Combustíveis e Energia (Não Incluídas no Âmbito 1 ou Âmbito 2)</t>
  </si>
  <si>
    <t>5. Resíduos Gerados nas Operações</t>
  </si>
  <si>
    <t>6. Viagens de Negócios</t>
  </si>
  <si>
    <t>7. Deslocação dos Empregados</t>
  </si>
  <si>
    <t>8. Ativos Arrendados a Montante</t>
  </si>
  <si>
    <t>9. Transporte e Distribuição a Jusante</t>
  </si>
  <si>
    <t>13. Ativos Arrendados a Jusante</t>
  </si>
  <si>
    <t>Emissões totais de GEE de Âmbito 3</t>
  </si>
  <si>
    <t>Emissões brutas totais de GEE de Âmbito 1, Âmbito 2 e Âmbito 3 (baseadas na localização)</t>
  </si>
  <si>
    <t>Emissões totais de GEE de Âmbito 1, Âmbito 2 e Âmbito 3 (baseadas no mercado)</t>
  </si>
  <si>
    <t>C3 - Divulgação da lista das principais ações que a entidade pretende implementar para atingir os seus objetivos</t>
  </si>
  <si>
    <t>C3 - Plano de transição para empresas que operam em setores com elevado impacto climático</t>
  </si>
  <si>
    <t>A Empresa opera em setores de elevado impacto?</t>
  </si>
  <si>
    <t>Estado da implementação de um plano de transição relacionado com a mitigação das alterações climáticas</t>
  </si>
  <si>
    <t>Descrição de um plano de transição para a mitigação das alterações climáticas, incluindo uma explicação de como está a contribuir para a redução das emissões de GEE</t>
  </si>
  <si>
    <t>Data de adoção prevista do plano de transição para a entidade que ainda não adotou um plano de transição</t>
  </si>
  <si>
    <t>B3 - Intensidade das emissões de gases com efeito de estufa por volume de negócios (em teCO2)</t>
  </si>
  <si>
    <t>Intensidade das emissões de GEE do Âmbito 1 e 2 (baseadas na localização)</t>
  </si>
  <si>
    <t>Intensidade das emissões de GEE do Âmbito 1 e 2 (baseadas no mercado)</t>
  </si>
  <si>
    <t>Intensidade total das emissões de GEE do Âmbito 1, Âmbito 2 e Âmbito 3 (baseadas na localização)</t>
  </si>
  <si>
    <t>Intensidade total das emissões de GEE do Âmbito 1, Âmbito 2 e Âmbito 3 (baseadas no mercado)</t>
  </si>
  <si>
    <t>A entidade já é obrigada por lei ou outros regulamentos nacionais a relatar às autoridades competentes as suas emissões de poluentes ou já as reporta voluntariamente de acordo com um Sistema de Gestão Ambiental?</t>
  </si>
  <si>
    <t>Por favor, forneça o link URL relevante ou a hiperligação onde esta informação é reportada.</t>
  </si>
  <si>
    <t>Por favor, selecione a unidade utilizada para reportar o montante (i.e. kg ou tonelada)</t>
  </si>
  <si>
    <t>Emissão para o ar</t>
  </si>
  <si>
    <t>B5 – Locais em áreas sensíveis à biodiversidade</t>
  </si>
  <si>
    <t>A empresa tem locais de atividade que estão localizados em ou próximos de zonas sensíveis do ponto de vista da biodiversidade?</t>
  </si>
  <si>
    <t>Por favor, selecione a unidade usada para a área (ou seja, hectares ou m²):</t>
  </si>
  <si>
    <t>ID do Local Relacionado (selecione um ID de uma localização do local reportado em B1)</t>
  </si>
  <si>
    <t>Localização do sítio perto de uma área de biodiversidade - preenchido automaticamente a partir do B1</t>
  </si>
  <si>
    <t>Sítio localizado perto de uma zona sensível à biodiversidade</t>
  </si>
  <si>
    <t>B5 – Biodiversidade – Utilização do solo</t>
  </si>
  <si>
    <t>Superfície total de área confinada</t>
  </si>
  <si>
    <t>Superfície total de zona orientada para a natureza no local de atividade</t>
  </si>
  <si>
    <t>Superfície total de zona orientada para a natureza fora do local de atividade</t>
  </si>
  <si>
    <t>Uso total do solo</t>
  </si>
  <si>
    <t>B6 — Captação de água</t>
  </si>
  <si>
    <t>Montante total de água retirada de todos os locais (metros cúbicos m³)</t>
  </si>
  <si>
    <t>Quantidade de água captada em locais situados em áreas de elevado stress hídrico (metros cúbicos m³)</t>
  </si>
  <si>
    <t>B6 - Consumo de água</t>
  </si>
  <si>
    <t>A empresa dispõe de processos de produção com consumos significativos de água (por exemplo, processos de energia térmica como secagem ou produção de energia, produção de bens, irrigação agrícola, etc.)?</t>
  </si>
  <si>
    <t>Descarga de água dos processos de produção da entidade (m³)</t>
  </si>
  <si>
    <t>A empresa aplica os princípios da economia circular</t>
  </si>
  <si>
    <t>Descrição de como a empresa aplica estes princípios</t>
  </si>
  <si>
    <t>Tipo de resíduos</t>
  </si>
  <si>
    <t>Resíduos destinados a eliminação</t>
  </si>
  <si>
    <t>Quantidade de resíduos reciclados, reutilizados e encaminhados para eliminação</t>
  </si>
  <si>
    <t>Resíduos Perigosos totais gerados (massa)</t>
  </si>
  <si>
    <t>Resíduos Não Perigosos Totais Gerados (massa)</t>
  </si>
  <si>
    <t>Produção total de resíduos (massa)</t>
  </si>
  <si>
    <t>Resíduos perigosos totais gerados (volume)</t>
  </si>
  <si>
    <t>Resíduos não perigosos totais gerados (volume)</t>
  </si>
  <si>
    <t>Produção total de resíduos (volume)</t>
  </si>
  <si>
    <t>B7 – Fluxo anual de massa de materiais relevantes utilizados</t>
  </si>
  <si>
    <t>A empresa opera num setor que utiliza fluxos significativos de materiais (por exemplo, fabrico, construção, embalagem ou outros)?</t>
  </si>
  <si>
    <t>Nome do material essencial</t>
  </si>
  <si>
    <t>Volume em Massa</t>
  </si>
  <si>
    <t>Fluxo anual de massa total dos materiais relevantes utilizados (massa em kg)</t>
  </si>
  <si>
    <t>Fluxo de massa anual total dos materiais relevantes utilizados (volume em m³)</t>
  </si>
  <si>
    <t xml:space="preserve">A empresa identificou perigos relacionados com o clima e eventos de transição relacionados com o clima que criam riscos brutos relacionados com o clima para a empresa?
</t>
  </si>
  <si>
    <t>Descrição sucinta dos perigos relacionados com o clima e eventos de transição relacionados com o clima</t>
  </si>
  <si>
    <t>Divulgação da forma como avaliou a exposição e a sensibilidade dos seus ativos, atividades e cadeia de valor a estes perigos e eventos de transição</t>
  </si>
  <si>
    <t>Horizontes temporais de quaisquer perigos relacionados com o clima e eventos de transição identificados</t>
  </si>
  <si>
    <t xml:space="preserve">Divulgação se realizou ações de adaptação às alterações climáticas para quaisquer perigos relacionados com o clima e eventos de transição. 
</t>
  </si>
  <si>
    <t>Potenciais efeitos adversos dos riscos climáticos suscetíveis de afetar o seu desempenho financeiro ou as suas operações comerciais a curto, médio ou longo prazo, indicando se avalia os riscos como elevados, médios ou baixos.</t>
  </si>
  <si>
    <t>Divulgação de quaisquer outras divulgações ambientais e/ou específicas da entidade relativas ao ambiente</t>
  </si>
  <si>
    <t>Metodologia de contagem de trabalhadores para as divulgações abaixo (Número de efetivos ou Equivalente a Tempo completo relacionados com B1)</t>
  </si>
  <si>
    <t>Metodologia de contagem de trabalhadores para as divulgações abaixo (No final do período de relato ou como uma média ao longo do período de relato ligado a partir de B1)</t>
  </si>
  <si>
    <t>B8 – Mão-de-obra – Características gerais - Tipo de contrato</t>
  </si>
  <si>
    <t>Contrato sem termo</t>
  </si>
  <si>
    <t>Contrato a termo</t>
  </si>
  <si>
    <t>Total de trabalhadores (relacionados com B1)</t>
  </si>
  <si>
    <t>B8 – Força de trabalho – Características gerais - Género</t>
  </si>
  <si>
    <t>Feminino</t>
  </si>
  <si>
    <t>Não reportado</t>
  </si>
  <si>
    <t>B8 – Mão-de-obra – Características gerais – País do contrato de trabalho</t>
  </si>
  <si>
    <t>B8 – Mão-de-obra – Características gerais - Taxa de rotatividade</t>
  </si>
  <si>
    <t>Número de trabalhadores que saíram durante o período de relato</t>
  </si>
  <si>
    <t>Número de trabalhadores no início do período de relato</t>
  </si>
  <si>
    <t>Número de trabalhadores no final do período de relato</t>
  </si>
  <si>
    <t>Taxa de rotatividade de trabalhadores [%] no período de relato</t>
  </si>
  <si>
    <t>Número de acidentes relacionados com o trabalho passíveis de registo no período de relato</t>
  </si>
  <si>
    <t>Número de horas trabalhadas por um empregado a tempo inteiro no período de relato</t>
  </si>
  <si>
    <t>Número total de horas trabalhadas num ano por todos os trabalhadores no período de relato</t>
  </si>
  <si>
    <t>Taxa de acidentes relacionados com o trabalho passíveis de registo no período de relato</t>
  </si>
  <si>
    <t>Número de mortes devido a lesões relacionadas com o trabalho e a problemas de saúde relacionados com o trabalho</t>
  </si>
  <si>
    <t xml:space="preserve">Os trabalhadores recebem uma remuneração igual ou superior ao salário mínimo aplicável no país a que se refere o relatório, determinada diretamente pela legislação nacional sobre salário mínimo ou através de uma convenção coletiva de trabalho. 
</t>
  </si>
  <si>
    <t>Nível médio de remuneração horária bruta dos trabalhadores do sexo masculino</t>
  </si>
  <si>
    <t>Nível médio de remuneração horária bruta dos trabalhadores do sexo feminino</t>
  </si>
  <si>
    <t>Disparidade percentual na remuneração entre os trabalhadores do sexo feminino e do sexo masculino  da empresa [%]</t>
  </si>
  <si>
    <t>Número de trabalhadores abrangidos por convenções coletivas de trabalho</t>
  </si>
  <si>
    <t>Percentagem de trabalhadores abrangidos por convenções coletivas de trabalho [%]</t>
  </si>
  <si>
    <t>Número médio de horas de formação anual por trabalhador durante o período de relato</t>
  </si>
  <si>
    <t>Número médio de horas anuais de formação por trabalhador</t>
  </si>
  <si>
    <t>C5 – Características adicionais (gerais) da mão-de-obra</t>
  </si>
  <si>
    <t>Número de trabalhadores do sexo masculino ao nível dos quadros superiores</t>
  </si>
  <si>
    <t>Número de trabalhadores do sexo feminino ao nível dos quadros superiores</t>
  </si>
  <si>
    <t>Rácio de mulheres para homens ao nível dos quadros superiores durante o período de relato</t>
  </si>
  <si>
    <t>Total de trabalhadores temporários cedidos por empresas principalmente dedicadas a atividades de emprego</t>
  </si>
  <si>
    <t>C6 – Informações adicionais sobre a própria mão-de-obra — Políticas e processos em matéria de direitos humanos</t>
  </si>
  <si>
    <t>A empresa dispõe de um código de conduta ou de uma política de direitos humanos para a sua própria mão-de-obra?</t>
  </si>
  <si>
    <t>Se sim, isso cobre:</t>
  </si>
  <si>
    <t>· tráfico de seres humanos</t>
  </si>
  <si>
    <t>Prevenção de acidentes</t>
  </si>
  <si>
    <t>outros? (SIM/NÃO — em caso afirmativo, especificar)</t>
  </si>
  <si>
    <t>Especifique outros tipos de conteúdo abrangidos pelo código de conduta ou pela política de direitos humanos</t>
  </si>
  <si>
    <t>A empresa dispõe de um mecanismo de tratamento de reclamações para a sua própria mão-de-obra?</t>
  </si>
  <si>
    <t>C7 – Incidentes negativos graves em matéria de direitos humanos</t>
  </si>
  <si>
    <t>A empresa tem incidentes confirmados na sua própria mão-de-obra?</t>
  </si>
  <si>
    <t>Se sim, os incidentes estão relacionados com:</t>
  </si>
  <si>
    <t xml:space="preserve">Especifique outros direitos humanos relacionados com os incidentes confirmados
</t>
  </si>
  <si>
    <t>Descrição das medidas tomadas para fazer face aos incidentes confirmados</t>
  </si>
  <si>
    <t>A entidade tem conhecimento de algum incidente confirmado envolvendo trabalhadores na cadeia de valor, comunidades afetadas, consumidores e utilizadores finais?</t>
  </si>
  <si>
    <t xml:space="preserve">Especificação de quaisquer incidentes confirmados envolvendo trabalhadores da cadeia de valor, comunidades afetadas, consumidores e utilizadores finais
</t>
  </si>
  <si>
    <t>Divulgação de quaisquer outras divulgações sociais e/ou específicas da entidade relativas a aspetos sociais</t>
  </si>
  <si>
    <t>A entidade incorreu em condenações e multas no período de reporte?</t>
  </si>
  <si>
    <t>Montante total das multas por violação das leis anticorrupção e antissuborno</t>
  </si>
  <si>
    <t>C8 – Rédito de determinadas atividades</t>
  </si>
  <si>
    <t>A entidade obtém rédito de uma das atividades listadas abaixo?</t>
  </si>
  <si>
    <t>Rédito derivado de armas controversas (minas antipessoais, munições de fragmentação, armas químicas e armas biológicas)</t>
  </si>
  <si>
    <t>Rédito proveniente do cultivo e produção de tabaco</t>
  </si>
  <si>
    <t>Rédito derivado do carvão</t>
  </si>
  <si>
    <t>Rédito derivado do petróleo</t>
  </si>
  <si>
    <t>Rèdito derivado do gás</t>
  </si>
  <si>
    <t>Rèdito total derivado do setor de combustíveis fósseis (carvão, petróleo e gás) (ou seja, a entidade obtém receitas da exploração, mineração, extração, produção, processamento, armazenamento, refinação ou distribuição, incluindo o transporte, armazenamento e comércio de combustíveis fósseis conforme definido no artigo 2.º, ponto (62), do Regulamento (UE) 2018/1999 do Parlamento Europeu e do Conselho)</t>
  </si>
  <si>
    <t>Rèdito derivado da produção de produtos químicos</t>
  </si>
  <si>
    <t>C8 – Exclusão dos índices de referência da UE</t>
  </si>
  <si>
    <t>As empresas são excluídas dos Índices de Referência Alinhados com a UE e o Acordo de Paris se elas derivarem:</t>
  </si>
  <si>
    <t>1% ou mais do seu rédito é proveniente da exploração, mineração, extração, distribuição ou refinação de carvão betuminoso e linhito</t>
  </si>
  <si>
    <t xml:space="preserve">Empresas que obtêm 10 % ou mais do seu rédito da exploração, extração, distribuição ou refinação de combustíveis petrolíferos;
</t>
  </si>
  <si>
    <t xml:space="preserve">Empresas que obtêm 50 % ou mais do seu rédito da exploração, extração, fabrico ou distribuição de combustíveis gasosos
</t>
  </si>
  <si>
    <t>Empresas que obtêm 50% ou mais do seu rédito da produção de eletricidade com uma intensidade de emissões de gases com efeito de estufa superior a 100 g CO2e/kWh.</t>
  </si>
  <si>
    <t>Nenhum dos anteriores</t>
  </si>
  <si>
    <t>A empresa deve divulgar se está excluída de quaisquer índices de referência da UE que estejam alinhados com o Acordo de Paris.</t>
  </si>
  <si>
    <t>C9 – Proporção de diversidade de género no órgão de governação</t>
  </si>
  <si>
    <t>A entidade tem um órgão de governação estabelecido?</t>
  </si>
  <si>
    <t>Número de membros do conselho do sexo feminino no final do período de relato</t>
  </si>
  <si>
    <t>Número de membros masculinos do conselho no final do período de reporte</t>
  </si>
  <si>
    <t>Divulgação de quaisquer outras divulgações de governação e/ou divulgações de governação específicas da entidade</t>
  </si>
  <si>
    <t>AVISO:</t>
  </si>
  <si>
    <t>Este conversor destina-se exclusivamente a ilustrar como o consumo de energia (em MWh) pode ser calculado a partir de vários tipos de combustíveis. A EFRAG não assume qualquer responsabilidade ou obrigação pelo conteúdo ou por quaisquer consequências ou danos diretos, indiretos ou acidentais resultantes da utilização deste conversor de combustível.</t>
  </si>
  <si>
    <t>Note que os valores típicos para o Valor Calorífico Líquido (NCV) e a Densidade são fornecidos para cada tipo de combustível. Contudo, estes parâmetros podem variar dependendo de fatores como regulamentos nacionais, características específicas dos fornecedores de combustível ou outras circunstâncias. Portanto, espera-se que os utilizadores insiram manualmente ou ajustem os valores de NCV e Densidade para refletir a sua situação específica.</t>
  </si>
  <si>
    <t>Adicionalmente, recomenda-se que os utilizadores determinem o estado de renovabilidade de cada combustível com base nas Garantias de Origem, conforme descrito no Artigo 19 da Diretiva Europeia 2018/2001/CE sobre a promoção da utilização de energia proveniente de fontes renováveis. O estado de renovabilidade predefinido fornecido para cada combustível é uma suposição típica e deve ser ajustado, se necessário, com base em circunstâncias geográficas ou individuais.</t>
  </si>
  <si>
    <t>Indica que a célula deve ser preenchida selecionando um valor da lista pendente (por exemplo, Tipo de combustível ou Unidade de Medida) ou introduzindo um montante.</t>
  </si>
  <si>
    <t>Energia Calculada em MWh</t>
  </si>
  <si>
    <t>Uso do Conversor de Combustível:</t>
  </si>
  <si>
    <t>3. Na célula C9 selecione a Quantidade de combustível usado</t>
  </si>
  <si>
    <t>4. Na célula D9 é mostrado o Estado físico do Combustível selecionado</t>
  </si>
  <si>
    <t>10. Notas adicionais podem ser encontradas abaixo</t>
  </si>
  <si>
    <t>Transfira o total dos resultados calculados para a célula de relatório B3 "Consumo de Energia de Combustíveis"</t>
  </si>
  <si>
    <t>Consumo Total de Energia Renovável [MWh]</t>
  </si>
  <si>
    <t>Consumo total de energia não renovável [MWh]</t>
  </si>
  <si>
    <t>Notas adicionais:</t>
  </si>
  <si>
    <t>O conversor oferece a possibilidade de calcular simultaneamente até 10 tipos diferentes de combustível. Para isso, por favor expanda as colunas ocultas utilizando o ícone de mais no topo do documento.
Cada conversor de combustível expandido funciona exatamente como explicado acima.
É importante notar que o cálculo automático realizado pelo Conversor de Combustível é feito utilizando os PCI e Densidades típicos para aquele tipo específico de combustível. Se a empresa for capaz de fornecer os PCI e Densidades específicos dos combustíveis utilizados, há a possibilidade de calcular o Consumo de Energia por Hora em MWh incorporando os valores específicos nas fórmulas automatizadas na folha do Conversor de Combustível.
Abaixo estão as fórmulas, caso a solução de um cálculo não automatizado usando valores específicos seja preferida à do Conversor. Se precisar converter a Unidade de Medida das suas medições específicas, por favor utilize o Conversor de Unidade de Medida.</t>
  </si>
  <si>
    <t>Consumo de Energia por Hora em MWh para Combustíveis Sólidos:</t>
  </si>
  <si>
    <t>Energia [MWh] = Massa [t] * PCI [MWh/t]</t>
  </si>
  <si>
    <t>Consumo de Energia por Hora em MWh para Combustíveis Líquidos:</t>
  </si>
  <si>
    <t>Consumo de Energia por Hora em MWh para Combustíveis Gasosos:</t>
  </si>
  <si>
    <t>CONVERSOR DE UNIDADES DE MEDIDA</t>
  </si>
  <si>
    <t>Unidade de medida do Conversor de Massa</t>
  </si>
  <si>
    <t>Unidade de medida do Conversor de Volume</t>
  </si>
  <si>
    <t>Unidade de medição do Consumo de Energia por Hora</t>
  </si>
  <si>
    <t>Unidade de medição do Conversor de Densidade</t>
  </si>
  <si>
    <t>Utilização do Conversor de Unidade de Medida</t>
  </si>
  <si>
    <t xml:space="preserve">Passos a seguir para a tabela de Massa:
</t>
  </si>
  <si>
    <t xml:space="preserve">Os passos a seguir para as outras tabelas (Volume, Consumo de Energia, Densidade e PCI) são os mesmos da tabela Massa. 
</t>
  </si>
  <si>
    <t>A seguir estão especificadas todas as conversões de unidades de medida de cada tabela.</t>
  </si>
  <si>
    <t>▪ Unidade de medida do Conversor de Densidade:</t>
  </si>
  <si>
    <t>▪ Unidade de medida do Conversor NCV:</t>
  </si>
  <si>
    <t>VALOR EM FALTA</t>
  </si>
  <si>
    <t>INCONSISTÊNCIA DE VALORES</t>
  </si>
  <si>
    <t>ERRO + VALOR EM FALTA + INCONSISTÊNCIA DE VALOR</t>
  </si>
  <si>
    <t>ERRO + VALOR EM FALTA</t>
  </si>
  <si>
    <t>VALOR EM FALTA + INCONSISTÊNCIA DE VALOR</t>
  </si>
  <si>
    <t>ℹ️ Combustível gasoso: por favor selecione uma unidade de medida entre m³ e L</t>
  </si>
  <si>
    <t>ℹ️ O identificador da entidade é um ID único que permitirá identificar a empresa que reportou a informação. A Norma VSME não exige nenhum identificador específico. Um identificador da entidade é necessário para a reporte digital.</t>
  </si>
  <si>
    <t>ℹ️ Se a mensagem VALOR INCONSISTENTE aparecer à direita, por favor assegure-se de que a data final do período de reporte é superior à data inicial do período de reporte.</t>
  </si>
  <si>
    <t>ℹ️ As listas podem ser expandidas usando o pequeno botão [+] à esquerda. Se o número de linhas não for suficiente, podem ser adicionadas outras clicando com o botão direito do mouse na segunda linha e selecionando "Inserir linha".</t>
  </si>
  <si>
    <t>ℹ️ Quando for escolhida a opção 'outro' como forma jurídica da entidade, por favor preencha a linha abaixo.</t>
  </si>
  <si>
    <t>ℹ️ Por favor, selecione um código NACE em vez de uma categoria, caso contrário, aparecerá uma mensagem de ERRO.</t>
  </si>
  <si>
    <t>ℹ️ Por favor, tenha cuidado para separar cada número de rua e número da casa utilizando o símbolo barra \"/\" e não a vírgula \",\".</t>
  </si>
  <si>
    <t>ℹ️ Por favor, note que a fórmula presente nesta célula pode ser sobrescrita caso a empresa queira fornecer diretamente o valor.</t>
  </si>
  <si>
    <t xml:space="preserve">ℹ️ As categorias do Âmbito 3 segundo o Protocolo GEE podem ajudar a calcular as emissões totais de GEE do Âmbito 3. Caso a empresa deseje, pode fornecer diretamente as Emissões Totais de GEE do Âmbito 3 na célula respetiva.
</t>
  </si>
  <si>
    <t>ℹ️ Se for apresentada uma validação relacionada com inconsistência de valores, selecione um ID do local diferente de um dos anteriormente selecionados.</t>
  </si>
  <si>
    <t>ℹ️ Por favor, selecione um Tipo de resíduo (Perigoso ou Não Perigoso) em vez de uma categoria, caso contrário aparecerá uma mensagem de ERRO.</t>
  </si>
  <si>
    <t>ℹ️ Por favor, certifique-se de que o número total de trabalhadores é igual ao indicado na célula E55 da folha "Informações Gerais"</t>
  </si>
  <si>
    <t>ℹ️ A empresa pode modificar o valor nesta célula, uma vez que 2.000 horas se baseiam na suposição de que um trabalhador a tempo completo trabalha 2.000 horas por ano. Este valor pode variar consoante o país ou setor, dependendo das regras nacionais ou dos acordos coletivos de trabalho.</t>
  </si>
  <si>
    <t>ℹ️ Combustível sólido: por favor, selecione uma unidade de medida entre Gg, t, Kg e g</t>
  </si>
  <si>
    <t>▪ Unidade de medida do Conversor de Energia:</t>
  </si>
  <si>
    <t>▪ Unidade de medida do Conversor de Volume:</t>
  </si>
  <si>
    <t>3. Por fim, na célula D5 deve constar a unidade de medida de interesse.</t>
  </si>
  <si>
    <t>2. De seguida, na célula B6, pode ser inserido o valor da massa.</t>
  </si>
  <si>
    <t>1. Na célula B5 da tabela relacionada com a Unidade de medição do Conversor de Massa deve ser inserida a Unidade de medição para converter.</t>
  </si>
  <si>
    <t>2. Na célula B9 selecione a Unidade de medida utilizada.</t>
  </si>
  <si>
    <t>1. Na célula A9 selecione o combustível utilizado, procurando-o ou deslocando-se para baixo na lista exibida e clicando na célula.</t>
  </si>
  <si>
    <t>5. Na célula E9 é exibido o estado típico de renovabilidade para o combustível selecionado.</t>
  </si>
  <si>
    <t>6. Na célula F9 é exibida a Energia produzida em Megawatts-hora pela Quantidade de Combustível especificada</t>
  </si>
  <si>
    <t>7. Em A28 é apresentada a Energia Total em Megawatt-hora</t>
  </si>
  <si>
    <t>8. Na célula A31 está exibida a Energia Renovável Total em Mega Watt horas</t>
  </si>
  <si>
    <t>9. Na célula B31 é exibido o Total de Energia Não Renovável em Mega Watt hora</t>
  </si>
  <si>
    <t>10. Processamento dos Produtos Vendidos</t>
  </si>
  <si>
    <t>12. Tratamento de Fim de Vida dos Produtos Vendidos</t>
  </si>
  <si>
    <t>· C4 – Riscos climáticos</t>
  </si>
  <si>
    <t>· B11 — Condenações e multas por corrupção e suborno</t>
  </si>
  <si>
    <t>· B9 — Mão-de-obra — Saúde e segurança</t>
  </si>
  <si>
    <t>· B8 – Força de trabalho – Características gerais</t>
  </si>
  <si>
    <r>
      <rPr>
        <b/>
        <sz val="11"/>
        <color theme="1"/>
        <rFont val="Aptos Narrow"/>
        <family val="2"/>
        <scheme val="minor"/>
      </rPr>
      <t xml:space="preserve">· </t>
    </r>
    <r>
      <rPr>
        <sz val="11"/>
        <color theme="1"/>
        <rFont val="Aptos Narrow"/>
        <family val="2"/>
        <scheme val="minor"/>
      </rPr>
      <t>B7 - Utilização dos recursos, economia circular e gestão de resíduos</t>
    </r>
  </si>
  <si>
    <t>1. Preencha as divulgações nas quatro folhas de cálculo (Informações Gerais, Divulgações Ambientais, Divulgações Sociais, Divulgações de Governação) nas células brancas emolduradas por uma borda preta. Não insira informações fora dessas células. A pesquisa nas listas de opção de escolha pode ser feita digitando na célula. Dicas (mensagens de entrada) são mostradas em várias células ao selecioná-las.</t>
  </si>
  <si>
    <t xml:space="preserve">2. Encontre mais informações sobre os requisitos atuais de divulgação no Modelo VSME e na orientação relacionada vinculada a cada célula. Divulgações adicionais ou específicas da entidade podem ser fornecidas em cada caixa de texto no final de cada folha de cálculo.
</t>
  </si>
  <si>
    <t xml:space="preserve">3. Para tabelas abertas, como a Lista de subsídios/locais, por favor expanda os grupos clicando no ícone de mais [+] no lado esquerdo. Se forem necessárias mais linhas, estas podem ser adicionadas inserindo-as entre a primeira e a última linha. Os IDs das linhas em tabelas abertas devem permanecer únicos por tabela.
</t>
  </si>
  <si>
    <t>6. A empresa também pode carregar o relatório em repositórios públicos ou numa página web.</t>
  </si>
  <si>
    <t>· B1 — Base para a elaboração</t>
  </si>
  <si>
    <t>· B2 — Práticas, políticas e iniciativas futuras para a transição para uma economia mais sustentável</t>
  </si>
  <si>
    <t>· B3 — Energia e emissões de gases com efeito de estufa</t>
  </si>
  <si>
    <t>· B4 — Poluição do ar, da água e do solo</t>
  </si>
  <si>
    <t>· B5 — Biodiversidade</t>
  </si>
  <si>
    <t>· B6 – Água</t>
  </si>
  <si>
    <t>· Informações no relatório necessárias para XBRL</t>
  </si>
  <si>
    <t>Este relatório contém {{ ns.fact_count }} fatos XBRL ({{ facts | count }} fatos únicos).</t>
  </si>
  <si>
    <t>Niniejszy raport zawiera {{ ns.fact_count }} elementów XBRL ({{ facts | count }} unikalnych elementów).</t>
  </si>
  <si>
    <t>Portuguese - Reviewed translation by Portuguese Standard Setter</t>
  </si>
  <si>
    <t>Este informe contiene {{ ns.fact_count }} elementos XBRL ({{ facts | count }} elementos únicos).</t>
  </si>
  <si>
    <t>Šioje ataskaitoje yra {{ ns.fact_count }} XBRL elementų ({{ facts | count }} unikalių elementų).</t>
  </si>
  <si>
    <t>Elaborado de acordo com o modelo de Relato de Sustentabilidade Voluntário para as pequenas e médias 
empresas (VSME), divulgado pela Comissão Europeia em 30 de julho de 2025.</t>
  </si>
  <si>
    <t>5. Converta este modelo para um relatório Inline XBRL (ou XBRL-JSON, XBRL-CSV), utilizando el conversor online. Esteja atento à validação XBRL efetuada pelo validador.</t>
  </si>
  <si>
    <t>Rédito de determinadas atividades</t>
  </si>
  <si>
    <t>· C8 – Rédito de determinadas atividades e exclusão dos índices de referência da UE</t>
  </si>
  <si>
    <t>template_label_GHG_calculator</t>
  </si>
  <si>
    <t>ℹ️ Check EFRAG website for a non-exhaustive list of GHG calculators.</t>
  </si>
  <si>
    <t>ℹ️ EFRAG svetainėje rasite neišsamų ŠESD skaičiuoklių sąrašą.</t>
  </si>
  <si>
    <t>ℹ️ Na stronie internetowej EFRAG znajduje się niewyczerpująca lista kalkulatorów emisji gazów cieplarnianych.</t>
  </si>
  <si>
    <t>ℹ️ Consulte o sítio Web do EFRAG para obter uma lista não exaustiva de calculadoras de GEE.</t>
  </si>
  <si>
    <t>ℹ️ Consulte el sitio web del EFRAG para obtener una lista no exhaustiva de calculadoras de GEI.</t>
  </si>
  <si>
    <t>3. For open tables like the List of subsidiaries/sites, please expand the groups by clicking the plus [+] icon on the left side. If more rows are needed, they can be added by inserting them between the first and last row. The row IDs in open tables must remain unique per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</si>
</sst>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
    <numFmt numFmtId="165" formatCode="0.0000"/>
    <numFmt numFmtId="166" formatCode="0.000000000"/>
    <numFmt numFmtId="167" formatCode="0.0000000000000000000"/>
    <numFmt numFmtId="168" formatCode="0.000000000000"/>
    <numFmt numFmtId="169" formatCode="0.000000000000000000000"/>
    <numFmt numFmtId="170" formatCode="0.0000000"/>
    <numFmt numFmtId="171" formatCode="0.0000000000000"/>
  </numFmts>
  <fonts count="39" x14ac:knownFonts="1">
    <font>
      <sz val="11"/>
      <color theme="1"/>
      <name val="Aptos Narrow"/>
      <family val="2"/>
      <scheme val="minor"/>
    </font>
    <font>
      <sz val="11"/>
      <color theme="1"/>
      <name val="Aptos Narrow"/>
      <family val="2"/>
      <scheme val="minor"/>
    </font>
    <font>
      <b/>
      <sz val="11"/>
      <color theme="1"/>
      <name val="Aptos Narrow"/>
      <family val="2"/>
      <scheme val="minor"/>
    </font>
    <font>
      <sz val="8"/>
      <name val="Aptos Narrow"/>
      <family val="2"/>
      <scheme val="minor"/>
    </font>
    <font>
      <i/>
      <sz val="11"/>
      <color theme="1"/>
      <name val="Aptos Narrow"/>
      <family val="2"/>
      <scheme val="minor"/>
    </font>
    <font>
      <i/>
      <sz val="9"/>
      <color theme="1"/>
      <name val="Aptos Narrow"/>
      <family val="2"/>
      <scheme val="minor"/>
    </font>
    <font>
      <u/>
      <sz val="11"/>
      <color theme="10"/>
      <name val="Aptos Narrow"/>
      <family val="2"/>
      <scheme val="minor"/>
    </font>
    <font>
      <b/>
      <sz val="11"/>
      <name val="Aptos Narrow"/>
      <family val="2"/>
      <scheme val="minor"/>
    </font>
    <font>
      <b/>
      <sz val="11"/>
      <name val="Calibri"/>
      <family val="2"/>
    </font>
    <font>
      <sz val="11"/>
      <name val="Aptos Narrow"/>
      <family val="2"/>
      <scheme val="minor"/>
    </font>
    <font>
      <i/>
      <sz val="11"/>
      <name val="Aptos Narrow"/>
      <family val="2"/>
      <scheme val="minor"/>
    </font>
    <font>
      <u/>
      <sz val="11"/>
      <name val="Aptos Narrow"/>
      <family val="2"/>
      <scheme val="minor"/>
    </font>
    <font>
      <i/>
      <u/>
      <sz val="11"/>
      <name val="Aptos Narrow"/>
      <family val="2"/>
      <scheme val="minor"/>
    </font>
    <font>
      <sz val="11"/>
      <color theme="1"/>
      <name val="Aptos Narrow"/>
      <family val="2"/>
    </font>
    <font>
      <b/>
      <sz val="16"/>
      <color theme="1"/>
      <name val="Aptos Narrow"/>
      <family val="2"/>
    </font>
    <font>
      <sz val="48"/>
      <color theme="1"/>
      <name val="Aptos Narrow"/>
      <family val="2"/>
      <scheme val="minor"/>
    </font>
    <font>
      <sz val="10"/>
      <color theme="1"/>
      <name val="Aptos Narrow"/>
      <family val="2"/>
      <scheme val="minor"/>
    </font>
    <font>
      <sz val="11"/>
      <color rgb="FF1B1B1B"/>
      <name val="Aptos Narrow"/>
      <family val="2"/>
      <scheme val="minor"/>
    </font>
    <font>
      <sz val="14"/>
      <color theme="1"/>
      <name val="Aptos Narrow"/>
      <family val="2"/>
      <scheme val="minor"/>
    </font>
    <font>
      <sz val="16"/>
      <color theme="1"/>
      <name val="Aptos Narrow"/>
      <family val="2"/>
      <scheme val="minor"/>
    </font>
    <font>
      <b/>
      <sz val="11"/>
      <color theme="1"/>
      <name val="Aptos Narrow"/>
      <family val="2"/>
    </font>
    <font>
      <b/>
      <sz val="11"/>
      <color rgb="FFFF0000"/>
      <name val="Aptos Narrow"/>
      <family val="2"/>
      <scheme val="minor"/>
    </font>
    <font>
      <sz val="20"/>
      <color theme="1"/>
      <name val="Aptos Narrow"/>
      <family val="2"/>
      <scheme val="minor"/>
    </font>
    <font>
      <i/>
      <sz val="11"/>
      <color theme="1"/>
      <name val="Aptos Narrow"/>
      <family val="2"/>
    </font>
    <font>
      <b/>
      <i/>
      <sz val="11"/>
      <color theme="1"/>
      <name val="Aptos Narrow"/>
      <family val="2"/>
      <scheme val="minor"/>
    </font>
    <font>
      <i/>
      <sz val="10"/>
      <color theme="1"/>
      <name val="Aptos Narrow"/>
      <family val="2"/>
      <scheme val="minor"/>
    </font>
    <font>
      <b/>
      <sz val="11"/>
      <name val="Calibri"/>
      <family val="2"/>
    </font>
    <font>
      <b/>
      <sz val="16"/>
      <color theme="1"/>
      <name val="Aptos Narrow"/>
      <family val="2"/>
      <scheme val="minor"/>
    </font>
    <font>
      <u/>
      <sz val="16"/>
      <color theme="1"/>
      <name val="Aptos Narrow"/>
      <family val="2"/>
      <scheme val="minor"/>
    </font>
    <font>
      <b/>
      <sz val="12"/>
      <color rgb="FF242424"/>
      <name val="Aptos"/>
      <family val="2"/>
    </font>
    <font>
      <sz val="11"/>
      <name val="Calibri"/>
      <family val="2"/>
    </font>
    <font>
      <b/>
      <u/>
      <sz val="11"/>
      <color rgb="FF0070C0"/>
      <name val="Aptos Narrow"/>
      <family val="2"/>
      <scheme val="minor"/>
    </font>
    <font>
      <sz val="16"/>
      <color rgb="FF242424"/>
      <name val="Aptos"/>
      <family val="2"/>
    </font>
    <font>
      <sz val="11"/>
      <color theme="10"/>
      <name val="Aptos Narrow"/>
      <family val="2"/>
      <scheme val="minor"/>
    </font>
    <font>
      <b/>
      <sz val="14"/>
      <color theme="1"/>
      <name val="Aptos Narrow"/>
      <family val="2"/>
      <scheme val="minor"/>
    </font>
    <font>
      <b/>
      <sz val="24"/>
      <color theme="1"/>
      <name val="Aptos Narrow"/>
      <family val="2"/>
      <scheme val="minor"/>
    </font>
    <font>
      <i/>
      <sz val="14"/>
      <color theme="1"/>
      <name val="Aptos Narrow"/>
      <family val="2"/>
      <scheme val="minor"/>
    </font>
    <font>
      <u/>
      <sz val="11"/>
      <color rgb="FF0070C0"/>
      <name val="Aptos Narrow"/>
      <family val="2"/>
      <scheme val="minor"/>
    </font>
    <font>
      <i/>
      <sz val="11"/>
      <color theme="10"/>
      <name val="Aptos Narrow"/>
      <family val="2"/>
      <scheme val="minor"/>
    </font>
  </fonts>
  <fills count="23">
    <fill>
      <patternFill patternType="none"/>
    </fill>
    <fill>
      <patternFill patternType="gray125"/>
    </fill>
    <fill>
      <patternFill patternType="solid">
        <fgColor theme="0" tint="-0.14996795556505021"/>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4"/>
      </patternFill>
    </fill>
    <fill>
      <patternFill patternType="solid">
        <fgColor rgb="FF00B050"/>
        <bgColor indexed="64"/>
      </patternFill>
    </fill>
    <fill>
      <patternFill patternType="solid">
        <fgColor rgb="FFFF0000"/>
        <bgColor indexed="64"/>
      </patternFill>
    </fill>
    <fill>
      <patternFill patternType="solid">
        <fgColor rgb="FFFFFFFF"/>
        <bgColor indexed="64"/>
      </patternFill>
    </fill>
    <fill>
      <patternFill patternType="solid">
        <fgColor rgb="FFB5E6A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E97132"/>
        <bgColor indexed="64"/>
      </patternFill>
    </fill>
    <fill>
      <patternFill patternType="solid">
        <fgColor rgb="FFF7F7CB"/>
        <bgColor indexed="64"/>
      </patternFill>
    </fill>
    <fill>
      <patternFill patternType="solid">
        <fgColor theme="0" tint="-0.499984740745262"/>
        <bgColor indexed="64"/>
      </patternFill>
    </fill>
    <fill>
      <patternFill patternType="solid">
        <fgColor theme="2"/>
        <bgColor indexed="64"/>
      </patternFill>
    </fill>
    <fill>
      <patternFill patternType="solid">
        <fgColor rgb="FFFFFF99"/>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rgb="FFFFFF00"/>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diagonalUp="1" diagonalDown="1">
      <left style="thin">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medium">
        <color indexed="64"/>
      </top>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medium">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ck">
        <color indexed="64"/>
      </right>
      <top style="thick">
        <color indexed="64"/>
      </top>
      <bottom style="thick">
        <color indexed="64"/>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medium">
        <color indexed="64"/>
      </top>
      <bottom style="medium">
        <color indexed="64"/>
      </bottom>
      <diagonal/>
    </border>
    <border diagonalUp="1" diagonalDown="1">
      <left style="medium">
        <color indexed="64"/>
      </left>
      <right style="thin">
        <color indexed="64"/>
      </right>
      <top style="thin">
        <color indexed="64"/>
      </top>
      <bottom style="thin">
        <color indexed="64"/>
      </bottom>
      <diagonal style="thin">
        <color indexed="64"/>
      </diagonal>
    </border>
    <border diagonalUp="1" diagonalDown="1">
      <left style="medium">
        <color indexed="64"/>
      </left>
      <right style="thin">
        <color indexed="64"/>
      </right>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medium">
        <color indexed="64"/>
      </right>
      <top style="medium">
        <color indexed="64"/>
      </top>
      <bottom style="thin">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bottom/>
      <diagonal/>
    </border>
    <border diagonalUp="1" diagonalDown="1">
      <left style="medium">
        <color indexed="64"/>
      </left>
      <right/>
      <top style="medium">
        <color indexed="64"/>
      </top>
      <bottom style="thin">
        <color indexed="64"/>
      </bottom>
      <diagonal style="thin">
        <color indexed="64"/>
      </diagonal>
    </border>
    <border diagonalUp="1" diagonalDown="1">
      <left/>
      <right/>
      <top style="medium">
        <color indexed="64"/>
      </top>
      <bottom style="thin">
        <color indexed="64"/>
      </bottom>
      <diagonal style="thin">
        <color indexed="64"/>
      </diagonal>
    </border>
    <border diagonalUp="1" diagonalDown="1">
      <left/>
      <right style="medium">
        <color indexed="64"/>
      </right>
      <top style="medium">
        <color indexed="64"/>
      </top>
      <bottom style="thin">
        <color indexed="64"/>
      </bottom>
      <diagonal style="thin">
        <color indexed="64"/>
      </diagonal>
    </border>
    <border diagonalUp="1" diagonalDown="1">
      <left style="thin">
        <color indexed="64"/>
      </left>
      <right style="medium">
        <color indexed="64"/>
      </right>
      <top style="thin">
        <color indexed="64"/>
      </top>
      <bottom/>
      <diagonal style="thin">
        <color indexed="64"/>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4">
    <xf numFmtId="0" fontId="0" fillId="0" borderId="0"/>
    <xf numFmtId="9" fontId="1" fillId="0" borderId="0" applyFont="0" applyFill="0" applyBorder="0" applyAlignment="0" applyProtection="0"/>
    <xf numFmtId="2" fontId="1" fillId="2" borderId="1"/>
    <xf numFmtId="0" fontId="6" fillId="0" borderId="0" applyNumberFormat="0" applyFill="0" applyBorder="0" applyAlignment="0" applyProtection="0"/>
  </cellStyleXfs>
  <cellXfs count="1190">
    <xf numFmtId="0" fontId="0" fillId="0" borderId="0" xfId="0"/>
    <xf numFmtId="0" fontId="0" fillId="0" borderId="1" xfId="0" applyBorder="1"/>
    <xf numFmtId="0" fontId="0" fillId="0" borderId="0" xfId="0" applyAlignment="1">
      <alignment wrapText="1"/>
    </xf>
    <xf numFmtId="0" fontId="0" fillId="0" borderId="6" xfId="0" applyBorder="1"/>
    <xf numFmtId="0" fontId="0" fillId="0" borderId="18" xfId="0" applyBorder="1"/>
    <xf numFmtId="0" fontId="0" fillId="0" borderId="19" xfId="0" applyBorder="1"/>
    <xf numFmtId="0" fontId="2" fillId="0" borderId="1" xfId="0" applyFont="1" applyBorder="1" applyAlignment="1">
      <alignment horizontal="center" vertical="center"/>
    </xf>
    <xf numFmtId="0" fontId="0" fillId="0" borderId="2" xfId="0" applyBorder="1"/>
    <xf numFmtId="0" fontId="0" fillId="0" borderId="25" xfId="0" applyBorder="1"/>
    <xf numFmtId="0" fontId="0" fillId="0" borderId="0" xfId="0" applyAlignment="1">
      <alignment horizontal="left" vertical="top"/>
    </xf>
    <xf numFmtId="0" fontId="0" fillId="7" borderId="0" xfId="0" applyFill="1"/>
    <xf numFmtId="0" fontId="2" fillId="0" borderId="0" xfId="0" applyFont="1" applyAlignment="1">
      <alignment horizontal="center" vertical="center" wrapText="1"/>
    </xf>
    <xf numFmtId="0" fontId="0" fillId="0" borderId="22" xfId="0" applyBorder="1"/>
    <xf numFmtId="0" fontId="0" fillId="0" borderId="30" xfId="0" applyBorder="1"/>
    <xf numFmtId="0" fontId="0" fillId="0" borderId="29" xfId="0" applyBorder="1"/>
    <xf numFmtId="0" fontId="2" fillId="7" borderId="0" xfId="0" applyFont="1" applyFill="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0" fontId="2" fillId="7" borderId="0" xfId="0" applyFont="1" applyFill="1" applyAlignment="1">
      <alignment horizontal="center"/>
    </xf>
    <xf numFmtId="0" fontId="0" fillId="7" borderId="0" xfId="0" applyFill="1" applyAlignment="1">
      <alignment horizontal="center" vertical="center"/>
    </xf>
    <xf numFmtId="2" fontId="1" fillId="13" borderId="58" xfId="2" applyFill="1" applyBorder="1" applyAlignment="1">
      <alignment horizontal="center" vertical="center"/>
    </xf>
    <xf numFmtId="166" fontId="1" fillId="13" borderId="71" xfId="2" applyNumberFormat="1" applyFill="1" applyBorder="1" applyAlignment="1">
      <alignment horizontal="center" vertical="center"/>
    </xf>
    <xf numFmtId="165" fontId="1" fillId="13" borderId="71" xfId="2" applyNumberFormat="1" applyFill="1" applyBorder="1" applyAlignment="1">
      <alignment horizontal="center" vertical="center"/>
    </xf>
    <xf numFmtId="165" fontId="1" fillId="7" borderId="34" xfId="2" applyNumberFormat="1" applyFill="1" applyBorder="1" applyAlignment="1">
      <alignment horizontal="center" vertical="center"/>
    </xf>
    <xf numFmtId="167" fontId="1" fillId="13" borderId="71" xfId="2" applyNumberFormat="1" applyFill="1" applyBorder="1" applyAlignment="1">
      <alignment horizontal="center" vertical="center"/>
    </xf>
    <xf numFmtId="0" fontId="2" fillId="0" borderId="71" xfId="0" applyFont="1" applyBorder="1"/>
    <xf numFmtId="0" fontId="2" fillId="0" borderId="71" xfId="0" applyFont="1" applyBorder="1" applyAlignment="1">
      <alignment horizontal="center" vertical="center" wrapText="1"/>
    </xf>
    <xf numFmtId="0" fontId="2" fillId="0" borderId="74" xfId="0" applyFont="1" applyBorder="1" applyAlignment="1">
      <alignment vertical="center" wrapText="1"/>
    </xf>
    <xf numFmtId="168" fontId="0" fillId="0" borderId="40" xfId="0" applyNumberFormat="1" applyBorder="1" applyAlignment="1">
      <alignment vertical="center" wrapText="1"/>
    </xf>
    <xf numFmtId="168" fontId="0" fillId="0" borderId="6" xfId="0" applyNumberFormat="1" applyBorder="1" applyAlignment="1">
      <alignment vertical="center" wrapText="1"/>
    </xf>
    <xf numFmtId="168" fontId="0" fillId="0" borderId="44" xfId="0" applyNumberFormat="1" applyBorder="1" applyAlignment="1">
      <alignment vertical="center" wrapText="1"/>
    </xf>
    <xf numFmtId="0" fontId="2" fillId="0" borderId="71" xfId="0" applyFont="1" applyBorder="1" applyAlignment="1">
      <alignment vertical="center" wrapText="1"/>
    </xf>
    <xf numFmtId="168" fontId="0" fillId="0" borderId="4" xfId="0" applyNumberFormat="1" applyBorder="1" applyAlignment="1">
      <alignment vertical="center" wrapText="1"/>
    </xf>
    <xf numFmtId="168" fontId="0" fillId="0" borderId="1" xfId="0" applyNumberFormat="1" applyBorder="1" applyAlignment="1">
      <alignment vertical="center" wrapText="1"/>
    </xf>
    <xf numFmtId="168" fontId="0" fillId="0" borderId="11" xfId="0" applyNumberFormat="1" applyBorder="1" applyAlignment="1">
      <alignment vertical="center" wrapText="1"/>
    </xf>
    <xf numFmtId="168" fontId="0" fillId="0" borderId="13" xfId="0" applyNumberFormat="1" applyBorder="1" applyAlignment="1">
      <alignment vertical="center" wrapText="1"/>
    </xf>
    <xf numFmtId="168" fontId="0" fillId="0" borderId="20" xfId="0" applyNumberFormat="1" applyBorder="1" applyAlignment="1">
      <alignment vertical="center" wrapText="1"/>
    </xf>
    <xf numFmtId="168" fontId="0" fillId="0" borderId="14" xfId="0" applyNumberFormat="1" applyBorder="1" applyAlignment="1">
      <alignment vertical="center" wrapText="1"/>
    </xf>
    <xf numFmtId="0" fontId="0" fillId="0" borderId="0" xfId="0" quotePrefix="1"/>
    <xf numFmtId="169" fontId="0" fillId="0" borderId="1" xfId="0" applyNumberFormat="1" applyBorder="1" applyAlignment="1">
      <alignment vertical="center" wrapText="1"/>
    </xf>
    <xf numFmtId="169" fontId="0" fillId="0" borderId="4" xfId="0" applyNumberFormat="1" applyBorder="1" applyAlignment="1">
      <alignment vertical="center" wrapText="1"/>
    </xf>
    <xf numFmtId="169" fontId="0" fillId="0" borderId="40" xfId="0" applyNumberFormat="1" applyBorder="1" applyAlignment="1">
      <alignment vertical="center" wrapText="1"/>
    </xf>
    <xf numFmtId="169" fontId="0" fillId="0" borderId="6" xfId="0" applyNumberFormat="1" applyBorder="1" applyAlignment="1">
      <alignment vertical="center" wrapText="1"/>
    </xf>
    <xf numFmtId="0" fontId="0" fillId="18" borderId="33" xfId="0" applyFill="1" applyBorder="1" applyAlignment="1">
      <alignment horizontal="center"/>
    </xf>
    <xf numFmtId="0" fontId="0" fillId="18" borderId="34" xfId="0" applyFill="1" applyBorder="1" applyAlignment="1">
      <alignment horizontal="center"/>
    </xf>
    <xf numFmtId="169" fontId="0" fillId="0" borderId="1" xfId="0" applyNumberFormat="1" applyBorder="1"/>
    <xf numFmtId="169" fontId="0" fillId="0" borderId="4" xfId="0" applyNumberFormat="1" applyBorder="1"/>
    <xf numFmtId="169" fontId="0" fillId="0" borderId="6" xfId="0" applyNumberFormat="1" applyBorder="1"/>
    <xf numFmtId="169" fontId="0" fillId="0" borderId="44" xfId="0" applyNumberFormat="1" applyBorder="1"/>
    <xf numFmtId="169" fontId="0" fillId="0" borderId="11" xfId="0" applyNumberFormat="1" applyBorder="1"/>
    <xf numFmtId="0" fontId="0" fillId="7" borderId="25" xfId="0" applyFill="1" applyBorder="1"/>
    <xf numFmtId="0" fontId="0" fillId="0" borderId="46" xfId="0" applyBorder="1"/>
    <xf numFmtId="14" fontId="0" fillId="0" borderId="0" xfId="0" applyNumberFormat="1"/>
    <xf numFmtId="0" fontId="2" fillId="0" borderId="11" xfId="0" applyFont="1" applyBorder="1" applyAlignment="1">
      <alignment horizontal="center" vertical="center" wrapText="1"/>
    </xf>
    <xf numFmtId="0" fontId="0" fillId="0" borderId="73" xfId="0" applyBorder="1"/>
    <xf numFmtId="0" fontId="0" fillId="0" borderId="39" xfId="0" applyBorder="1"/>
    <xf numFmtId="0" fontId="0" fillId="0" borderId="11" xfId="0" applyBorder="1" applyAlignment="1" applyProtection="1">
      <alignment horizontal="left"/>
      <protection locked="0"/>
    </xf>
    <xf numFmtId="0" fontId="0" fillId="0" borderId="11" xfId="0" applyBorder="1" applyAlignment="1" applyProtection="1">
      <alignment vertical="center"/>
      <protection locked="0"/>
      <extLst>
        <ext xmlns:xfpb="http://schemas.microsoft.com/office/spreadsheetml/2022/featurepropertybag" uri="{C7286773-470A-42A8-94C5-96B5CB345126}">
          <xfpb:xfComplement i="0"/>
        </ext>
      </extLst>
    </xf>
    <xf numFmtId="0" fontId="0" fillId="6" borderId="11" xfId="0" applyFill="1" applyBorder="1" applyAlignment="1" applyProtection="1">
      <alignment horizontal="center" vertical="center" wrapText="1"/>
      <protection locked="0"/>
    </xf>
    <xf numFmtId="0" fontId="0" fillId="6" borderId="51" xfId="0" applyFill="1" applyBorder="1" applyAlignment="1" applyProtection="1">
      <alignment horizontal="center" vertical="center" wrapText="1"/>
      <protection locked="0"/>
    </xf>
    <xf numFmtId="0" fontId="0" fillId="0" borderId="11" xfId="0" applyBorder="1" applyAlignment="1" applyProtection="1">
      <alignment horizontal="right" vertical="center" wrapText="1"/>
      <protection locked="0"/>
    </xf>
    <xf numFmtId="0" fontId="0" fillId="0" borderId="11" xfId="0" applyBorder="1" applyAlignment="1" applyProtection="1">
      <alignment horizontal="right" wrapText="1"/>
      <protection locked="0"/>
    </xf>
    <xf numFmtId="0" fontId="0" fillId="6" borderId="11" xfId="0" applyFill="1" applyBorder="1" applyAlignment="1" applyProtection="1">
      <alignment horizontal="right"/>
      <protection locked="0"/>
    </xf>
    <xf numFmtId="2" fontId="0" fillId="0" borderId="11" xfId="0" applyNumberFormat="1" applyBorder="1" applyAlignment="1" applyProtection="1">
      <alignment horizontal="right" wrapText="1"/>
      <protection locked="0"/>
    </xf>
    <xf numFmtId="2" fontId="0" fillId="0" borderId="11" xfId="0" applyNumberFormat="1" applyBorder="1" applyAlignment="1" applyProtection="1">
      <alignment horizontal="right"/>
      <protection locked="0"/>
    </xf>
    <xf numFmtId="0" fontId="0" fillId="0" borderId="14" xfId="0" applyBorder="1" applyAlignment="1" applyProtection="1">
      <alignment horizontal="right" wrapText="1"/>
      <protection locked="0"/>
    </xf>
    <xf numFmtId="0" fontId="0" fillId="6" borderId="20" xfId="0" applyFill="1" applyBorder="1" applyProtection="1">
      <protection locked="0"/>
    </xf>
    <xf numFmtId="0" fontId="0" fillId="6" borderId="14" xfId="0" applyFill="1" applyBorder="1" applyProtection="1">
      <protection locked="0"/>
    </xf>
    <xf numFmtId="0" fontId="0" fillId="6" borderId="43" xfId="0" applyFill="1" applyBorder="1" applyProtection="1">
      <protection locked="0"/>
    </xf>
    <xf numFmtId="0" fontId="0" fillId="6" borderId="44" xfId="0" applyFill="1" applyBorder="1" applyProtection="1">
      <protection locked="0"/>
    </xf>
    <xf numFmtId="0" fontId="0" fillId="6" borderId="2" xfId="0" applyFill="1" applyBorder="1" applyProtection="1">
      <protection locked="0"/>
    </xf>
    <xf numFmtId="0" fontId="0" fillId="6" borderId="11" xfId="0" applyFill="1" applyBorder="1" applyProtection="1">
      <protection locked="0"/>
    </xf>
    <xf numFmtId="0" fontId="0" fillId="6" borderId="37" xfId="0" applyFill="1" applyBorder="1" applyProtection="1">
      <protection locked="0"/>
    </xf>
    <xf numFmtId="0" fontId="0" fillId="0" borderId="1" xfId="0" applyBorder="1" applyProtection="1">
      <protection locked="0"/>
    </xf>
    <xf numFmtId="49" fontId="0" fillId="0" borderId="1" xfId="0" applyNumberFormat="1" applyBorder="1" applyAlignment="1" applyProtection="1">
      <alignment horizontal="left"/>
      <protection locked="0"/>
    </xf>
    <xf numFmtId="0" fontId="0" fillId="0" borderId="2" xfId="0" applyBorder="1" applyAlignment="1" applyProtection="1">
      <alignment wrapText="1"/>
      <protection locked="0"/>
    </xf>
    <xf numFmtId="0" fontId="0" fillId="0" borderId="6" xfId="0" applyBorder="1" applyProtection="1">
      <protection locked="0"/>
    </xf>
    <xf numFmtId="49" fontId="0" fillId="0" borderId="6" xfId="0" applyNumberFormat="1" applyBorder="1" applyAlignment="1" applyProtection="1">
      <alignment horizontal="left"/>
      <protection locked="0"/>
    </xf>
    <xf numFmtId="0" fontId="0" fillId="0" borderId="43" xfId="0" applyBorder="1" applyAlignment="1" applyProtection="1">
      <alignment wrapText="1"/>
      <protection locked="0"/>
    </xf>
    <xf numFmtId="0" fontId="0" fillId="0" borderId="20" xfId="0" applyBorder="1" applyProtection="1">
      <protection locked="0"/>
    </xf>
    <xf numFmtId="49" fontId="0" fillId="0" borderId="20" xfId="0" applyNumberFormat="1" applyBorder="1" applyAlignment="1" applyProtection="1">
      <alignment horizontal="left"/>
      <protection locked="0"/>
    </xf>
    <xf numFmtId="0" fontId="0" fillId="0" borderId="37" xfId="0" applyBorder="1" applyAlignment="1" applyProtection="1">
      <alignment wrapText="1"/>
      <protection locked="0"/>
    </xf>
    <xf numFmtId="0" fontId="0" fillId="0" borderId="48" xfId="0" applyBorder="1" applyProtection="1">
      <protection locked="0"/>
    </xf>
    <xf numFmtId="49" fontId="0" fillId="0" borderId="48" xfId="0" applyNumberFormat="1" applyBorder="1" applyAlignment="1" applyProtection="1">
      <alignment horizontal="left"/>
      <protection locked="0"/>
    </xf>
    <xf numFmtId="0" fontId="0" fillId="0" borderId="46" xfId="0" applyBorder="1" applyAlignment="1" applyProtection="1">
      <alignment wrapText="1"/>
      <protection locked="0"/>
    </xf>
    <xf numFmtId="0" fontId="2" fillId="0" borderId="33" xfId="0" applyFont="1" applyBorder="1"/>
    <xf numFmtId="0" fontId="0" fillId="0" borderId="1" xfId="0" applyBorder="1" applyAlignment="1">
      <alignment horizontal="center" vertical="center" wrapText="1"/>
    </xf>
    <xf numFmtId="0" fontId="2" fillId="0" borderId="25" xfId="0" applyFont="1" applyBorder="1" applyAlignment="1">
      <alignment horizontal="center" vertical="center" wrapText="1"/>
    </xf>
    <xf numFmtId="0" fontId="2" fillId="7" borderId="25" xfId="0" applyFont="1" applyFill="1" applyBorder="1" applyAlignment="1">
      <alignment horizontal="center" vertical="center"/>
    </xf>
    <xf numFmtId="0" fontId="9" fillId="0" borderId="0" xfId="0" applyFont="1"/>
    <xf numFmtId="0" fontId="0" fillId="0" borderId="0" xfId="0" applyAlignment="1">
      <alignment horizontal="left"/>
    </xf>
    <xf numFmtId="0" fontId="1" fillId="0" borderId="0" xfId="2" applyNumberFormat="1" applyFill="1" applyBorder="1" applyAlignment="1">
      <alignment horizontal="center"/>
    </xf>
    <xf numFmtId="0" fontId="11" fillId="0" borderId="0" xfId="3" applyFont="1" applyProtection="1"/>
    <xf numFmtId="0" fontId="10" fillId="0" borderId="0" xfId="0" applyFont="1"/>
    <xf numFmtId="0" fontId="9" fillId="0" borderId="0" xfId="0" applyFont="1" applyAlignment="1">
      <alignment horizontal="center" vertical="center"/>
    </xf>
    <xf numFmtId="0" fontId="0" fillId="0" borderId="25" xfId="0" applyBorder="1" applyAlignment="1">
      <alignment wrapText="1"/>
    </xf>
    <xf numFmtId="0" fontId="0" fillId="0" borderId="0" xfId="0" applyAlignment="1">
      <alignment horizontal="center" vertical="center" wrapText="1"/>
    </xf>
    <xf numFmtId="164" fontId="0" fillId="7" borderId="0" xfId="0" applyNumberFormat="1" applyFill="1" applyAlignment="1">
      <alignment wrapText="1"/>
    </xf>
    <xf numFmtId="0" fontId="0" fillId="0" borderId="18" xfId="0" applyBorder="1" applyAlignment="1">
      <alignment horizontal="left" vertical="top" wrapText="1"/>
    </xf>
    <xf numFmtId="0" fontId="0" fillId="0" borderId="18" xfId="0" applyBorder="1" applyAlignment="1">
      <alignment horizontal="left" vertical="center" wrapText="1"/>
    </xf>
    <xf numFmtId="0" fontId="0" fillId="0" borderId="10" xfId="0" applyBorder="1" applyAlignment="1">
      <alignment horizontal="left" vertical="center" wrapText="1"/>
    </xf>
    <xf numFmtId="0" fontId="2" fillId="0" borderId="19" xfId="0" applyFont="1" applyBorder="1" applyAlignment="1">
      <alignment horizontal="left" vertical="center" wrapText="1"/>
    </xf>
    <xf numFmtId="0" fontId="4" fillId="19" borderId="18" xfId="0" applyFont="1" applyFill="1" applyBorder="1" applyAlignment="1">
      <alignment horizontal="left" vertical="center" wrapText="1"/>
    </xf>
    <xf numFmtId="2" fontId="2" fillId="0" borderId="6" xfId="0" applyNumberFormat="1" applyFont="1" applyBorder="1" applyAlignment="1">
      <alignment horizontal="center" vertical="center"/>
    </xf>
    <xf numFmtId="2" fontId="2" fillId="0" borderId="44" xfId="0" applyNumberFormat="1" applyFont="1" applyBorder="1" applyAlignment="1">
      <alignment horizontal="center" vertical="center" wrapText="1"/>
    </xf>
    <xf numFmtId="0" fontId="2" fillId="0" borderId="25" xfId="0" applyFont="1" applyBorder="1" applyAlignment="1">
      <alignment horizontal="center" vertical="center"/>
    </xf>
    <xf numFmtId="0" fontId="4" fillId="7" borderId="70" xfId="0" applyFont="1" applyFill="1" applyBorder="1"/>
    <xf numFmtId="0" fontId="4" fillId="7" borderId="80" xfId="0" applyFont="1" applyFill="1" applyBorder="1"/>
    <xf numFmtId="0" fontId="2" fillId="0" borderId="11" xfId="0" applyFont="1" applyBorder="1" applyAlignment="1">
      <alignment horizontal="center" vertical="center"/>
    </xf>
    <xf numFmtId="0" fontId="4" fillId="7" borderId="66" xfId="0" applyFont="1" applyFill="1" applyBorder="1"/>
    <xf numFmtId="9" fontId="1" fillId="13" borderId="11" xfId="1" applyFill="1" applyBorder="1" applyAlignment="1" applyProtection="1">
      <alignment horizontal="right"/>
    </xf>
    <xf numFmtId="0" fontId="4" fillId="7" borderId="83" xfId="0" applyFont="1" applyFill="1" applyBorder="1"/>
    <xf numFmtId="9" fontId="0" fillId="7" borderId="89" xfId="1" applyFont="1" applyFill="1" applyBorder="1" applyAlignment="1" applyProtection="1">
      <alignment horizontal="right"/>
    </xf>
    <xf numFmtId="0" fontId="0" fillId="4" borderId="19" xfId="0" applyFill="1" applyBorder="1"/>
    <xf numFmtId="0" fontId="0" fillId="0" borderId="19" xfId="0" applyBorder="1" applyAlignment="1">
      <alignment wrapText="1"/>
    </xf>
    <xf numFmtId="0" fontId="5" fillId="0" borderId="0" xfId="0" applyFont="1" applyAlignment="1">
      <alignment horizontal="center"/>
    </xf>
    <xf numFmtId="0" fontId="0" fillId="0" borderId="18" xfId="0" applyBorder="1" applyAlignment="1">
      <alignment vertical="top" wrapText="1"/>
    </xf>
    <xf numFmtId="0" fontId="0" fillId="0" borderId="19" xfId="0" applyBorder="1" applyAlignment="1">
      <alignment vertical="top" wrapText="1"/>
    </xf>
    <xf numFmtId="0" fontId="2" fillId="0" borderId="18" xfId="0" applyFont="1" applyBorder="1" applyAlignment="1">
      <alignment horizontal="center" vertical="center"/>
    </xf>
    <xf numFmtId="0" fontId="2" fillId="0" borderId="0" xfId="0" applyFont="1"/>
    <xf numFmtId="0" fontId="0" fillId="0" borderId="34" xfId="0" applyBorder="1"/>
    <xf numFmtId="0" fontId="2" fillId="0" borderId="7" xfId="0" applyFont="1" applyBorder="1" applyAlignment="1">
      <alignment horizontal="center" vertical="center" wrapText="1"/>
    </xf>
    <xf numFmtId="0" fontId="0" fillId="0" borderId="12" xfId="0" applyBorder="1"/>
    <xf numFmtId="0" fontId="0" fillId="0" borderId="0" xfId="0" applyAlignment="1">
      <alignment vertical="center"/>
    </xf>
    <xf numFmtId="0" fontId="2" fillId="0" borderId="18" xfId="0" applyFont="1" applyBorder="1" applyAlignment="1">
      <alignment vertical="center" wrapText="1"/>
    </xf>
    <xf numFmtId="0" fontId="0" fillId="0" borderId="10" xfId="0" applyBorder="1" applyAlignment="1">
      <alignment wrapText="1"/>
    </xf>
    <xf numFmtId="0" fontId="0" fillId="0" borderId="0" xfId="0" applyAlignment="1">
      <alignment horizontal="center" vertical="center"/>
    </xf>
    <xf numFmtId="0" fontId="0" fillId="0" borderId="18" xfId="0" applyBorder="1" applyAlignment="1">
      <alignment wrapText="1"/>
    </xf>
    <xf numFmtId="0" fontId="12" fillId="7" borderId="0" xfId="3" applyFont="1" applyFill="1" applyBorder="1" applyAlignment="1" applyProtection="1">
      <alignment horizontal="center" vertical="center"/>
    </xf>
    <xf numFmtId="0" fontId="12" fillId="7" borderId="0" xfId="3" applyFont="1" applyFill="1" applyBorder="1" applyAlignment="1" applyProtection="1">
      <alignment horizontal="center" vertical="center" wrapText="1"/>
    </xf>
    <xf numFmtId="0" fontId="0" fillId="0" borderId="12" xfId="0" applyBorder="1" applyAlignment="1">
      <alignment horizontal="left" vertical="center" wrapText="1"/>
    </xf>
    <xf numFmtId="2" fontId="2" fillId="0" borderId="0" xfId="0" applyNumberFormat="1" applyFont="1" applyAlignment="1">
      <alignment horizontal="center" vertical="center"/>
    </xf>
    <xf numFmtId="0" fontId="0" fillId="19" borderId="18" xfId="0" applyFill="1" applyBorder="1" applyAlignment="1">
      <alignment horizontal="left" vertical="center" wrapText="1"/>
    </xf>
    <xf numFmtId="0" fontId="0" fillId="0" borderId="45" xfId="0" applyBorder="1" applyAlignment="1">
      <alignment horizontal="left" vertical="center" wrapText="1"/>
    </xf>
    <xf numFmtId="2" fontId="0" fillId="7" borderId="0" xfId="0" applyNumberFormat="1" applyFill="1" applyAlignment="1">
      <alignment horizontal="center" vertical="center" wrapText="1"/>
    </xf>
    <xf numFmtId="0" fontId="12" fillId="0" borderId="0" xfId="3" applyFont="1" applyFill="1" applyBorder="1" applyAlignment="1" applyProtection="1">
      <alignment horizontal="center" vertical="center"/>
    </xf>
    <xf numFmtId="0" fontId="12" fillId="0" borderId="0" xfId="3" applyFont="1" applyFill="1" applyBorder="1" applyAlignment="1" applyProtection="1">
      <alignment horizontal="center" vertical="center" wrapText="1"/>
    </xf>
    <xf numFmtId="0" fontId="2" fillId="0" borderId="4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10" xfId="0" applyBorder="1"/>
    <xf numFmtId="2" fontId="0" fillId="13" borderId="14" xfId="0" applyNumberFormat="1" applyFill="1" applyBorder="1" applyAlignment="1">
      <alignment horizontal="center"/>
    </xf>
    <xf numFmtId="0" fontId="2" fillId="0" borderId="18" xfId="0" applyFont="1" applyBorder="1" applyAlignment="1">
      <alignment horizontal="center" vertical="center" wrapText="1"/>
    </xf>
    <xf numFmtId="0" fontId="0" fillId="13" borderId="11" xfId="0" applyFill="1" applyBorder="1" applyAlignment="1">
      <alignment horizontal="center"/>
    </xf>
    <xf numFmtId="0" fontId="0" fillId="6" borderId="1" xfId="0" applyFill="1" applyBorder="1" applyAlignment="1" applyProtection="1">
      <alignment horizontal="center" vertical="center"/>
      <protection locked="0"/>
    </xf>
    <xf numFmtId="0" fontId="0" fillId="6" borderId="11" xfId="0" applyFill="1" applyBorder="1" applyAlignment="1" applyProtection="1">
      <alignment horizontal="center"/>
      <protection locked="0"/>
    </xf>
    <xf numFmtId="0" fontId="0" fillId="19" borderId="44" xfId="0" applyFill="1" applyBorder="1" applyAlignment="1" applyProtection="1">
      <alignment vertical="center"/>
      <protection locked="0"/>
      <extLst>
        <ext xmlns:xfpb="http://schemas.microsoft.com/office/spreadsheetml/2022/featurepropertybag" uri="{C7286773-470A-42A8-94C5-96B5CB345126}">
          <xfpb:xfComplement i="0"/>
        </ext>
      </extLst>
    </xf>
    <xf numFmtId="2" fontId="0" fillId="0" borderId="1" xfId="0" applyNumberFormat="1" applyBorder="1" applyProtection="1">
      <protection locked="0"/>
    </xf>
    <xf numFmtId="0" fontId="7" fillId="0" borderId="10" xfId="0" applyFont="1" applyBorder="1" applyAlignment="1">
      <alignment horizontal="center" vertical="center" wrapText="1"/>
    </xf>
    <xf numFmtId="0" fontId="0" fillId="7" borderId="0" xfId="0" quotePrefix="1" applyFill="1"/>
    <xf numFmtId="0" fontId="0" fillId="0" borderId="10" xfId="0" applyBorder="1" applyAlignment="1">
      <alignment horizontal="center" vertical="center" wrapText="1"/>
    </xf>
    <xf numFmtId="0" fontId="2" fillId="0" borderId="12" xfId="0" applyFont="1" applyBorder="1" applyAlignment="1">
      <alignment horizontal="center" vertical="center" wrapText="1"/>
    </xf>
    <xf numFmtId="0" fontId="7" fillId="0" borderId="30" xfId="0" applyFont="1" applyBorder="1" applyAlignment="1">
      <alignment horizontal="center" vertical="center" wrapText="1"/>
    </xf>
    <xf numFmtId="0" fontId="0" fillId="0" borderId="18" xfId="0" applyBorder="1" applyAlignment="1">
      <alignment horizontal="center" vertical="center" wrapText="1"/>
    </xf>
    <xf numFmtId="0" fontId="10" fillId="0" borderId="18" xfId="3" applyFont="1" applyFill="1" applyBorder="1" applyAlignment="1" applyProtection="1">
      <alignment horizontal="left" vertical="center" wrapText="1"/>
    </xf>
    <xf numFmtId="0" fontId="10" fillId="19" borderId="18" xfId="0" applyFont="1" applyFill="1" applyBorder="1" applyAlignment="1">
      <alignment horizontal="left" vertical="center" wrapText="1"/>
    </xf>
    <xf numFmtId="0" fontId="4" fillId="7" borderId="18" xfId="0" applyFont="1" applyFill="1" applyBorder="1" applyAlignment="1">
      <alignment wrapText="1"/>
    </xf>
    <xf numFmtId="0" fontId="2" fillId="7" borderId="19" xfId="0" applyFont="1" applyFill="1" applyBorder="1" applyAlignment="1">
      <alignment wrapText="1"/>
    </xf>
    <xf numFmtId="0" fontId="4" fillId="0" borderId="7" xfId="0" applyFont="1" applyBorder="1" applyAlignment="1">
      <alignment horizontal="left" wrapText="1"/>
    </xf>
    <xf numFmtId="0" fontId="4" fillId="0" borderId="30" xfId="0" applyFont="1" applyBorder="1" applyAlignment="1">
      <alignment horizontal="left" wrapText="1"/>
    </xf>
    <xf numFmtId="0" fontId="0" fillId="7" borderId="30" xfId="0" applyFill="1" applyBorder="1" applyAlignment="1">
      <alignment wrapText="1"/>
    </xf>
    <xf numFmtId="0" fontId="0" fillId="7" borderId="19" xfId="0" applyFill="1" applyBorder="1" applyAlignment="1">
      <alignment wrapText="1"/>
    </xf>
    <xf numFmtId="0" fontId="17" fillId="0" borderId="25" xfId="0" applyFont="1" applyBorder="1" applyAlignment="1">
      <alignment vertical="center" wrapText="1"/>
    </xf>
    <xf numFmtId="0" fontId="0" fillId="0" borderId="30" xfId="0" applyBorder="1" applyAlignment="1">
      <alignment horizontal="left" indent="1"/>
    </xf>
    <xf numFmtId="0" fontId="0" fillId="0" borderId="25" xfId="0" applyBorder="1" applyAlignment="1">
      <alignment horizontal="left" indent="1"/>
    </xf>
    <xf numFmtId="0" fontId="0" fillId="0" borderId="18" xfId="0" applyBorder="1" applyAlignment="1">
      <alignment horizontal="left" indent="1"/>
    </xf>
    <xf numFmtId="0" fontId="0" fillId="0" borderId="12" xfId="0" applyBorder="1" applyAlignment="1">
      <alignment wrapText="1"/>
    </xf>
    <xf numFmtId="0" fontId="17" fillId="0" borderId="18" xfId="0" applyFont="1" applyBorder="1" applyAlignment="1">
      <alignment vertical="center" wrapText="1"/>
    </xf>
    <xf numFmtId="0" fontId="4" fillId="19" borderId="11"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9" borderId="11"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9" borderId="56"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9" borderId="21"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9" borderId="14"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9" borderId="63"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9" borderId="1"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6" borderId="59" xfId="0" applyFill="1" applyBorder="1" applyAlignment="1" applyProtection="1">
      <alignment horizontal="center"/>
      <protection locked="0"/>
    </xf>
    <xf numFmtId="0" fontId="2" fillId="0" borderId="71" xfId="0" applyFont="1" applyBorder="1" applyAlignment="1" applyProtection="1">
      <alignment vertical="center"/>
      <protection locked="0"/>
    </xf>
    <xf numFmtId="0" fontId="2" fillId="0" borderId="35" xfId="0" applyFont="1" applyBorder="1" applyAlignment="1" applyProtection="1">
      <alignment horizontal="left" vertical="center"/>
      <protection locked="0"/>
    </xf>
    <xf numFmtId="0" fontId="2" fillId="0" borderId="71" xfId="0" applyFont="1" applyBorder="1" applyAlignment="1" applyProtection="1">
      <alignment horizontal="left" vertical="center"/>
      <protection locked="0"/>
    </xf>
    <xf numFmtId="0" fontId="2" fillId="0" borderId="35" xfId="0" applyFont="1" applyBorder="1" applyAlignment="1" applyProtection="1">
      <alignment vertical="center"/>
      <protection locked="0"/>
    </xf>
    <xf numFmtId="0" fontId="2" fillId="0" borderId="34" xfId="0" applyFont="1" applyBorder="1" applyAlignment="1" applyProtection="1">
      <alignment vertical="center"/>
      <protection locked="0"/>
    </xf>
    <xf numFmtId="0" fontId="0" fillId="0" borderId="43" xfId="0" applyBorder="1" applyAlignment="1" applyProtection="1">
      <alignment horizontal="left"/>
      <protection locked="0"/>
    </xf>
    <xf numFmtId="2" fontId="0" fillId="0" borderId="6" xfId="0" applyNumberFormat="1" applyBorder="1" applyAlignment="1" applyProtection="1">
      <alignment horizontal="right"/>
      <protection locked="0"/>
    </xf>
    <xf numFmtId="2" fontId="0" fillId="0" borderId="1" xfId="0" applyNumberFormat="1" applyBorder="1" applyAlignment="1" applyProtection="1">
      <alignment horizontal="right"/>
      <protection locked="0"/>
    </xf>
    <xf numFmtId="2" fontId="0" fillId="17" borderId="1" xfId="0" applyNumberFormat="1" applyFill="1" applyBorder="1" applyProtection="1">
      <protection locked="0"/>
    </xf>
    <xf numFmtId="2" fontId="0" fillId="0" borderId="2" xfId="0" applyNumberFormat="1" applyBorder="1" applyProtection="1">
      <protection locked="0"/>
    </xf>
    <xf numFmtId="2" fontId="9" fillId="0" borderId="1" xfId="0" applyNumberFormat="1" applyFont="1" applyBorder="1" applyAlignment="1" applyProtection="1">
      <alignment horizontal="right"/>
      <protection locked="0"/>
    </xf>
    <xf numFmtId="2" fontId="0" fillId="0" borderId="48" xfId="0" applyNumberFormat="1" applyBorder="1" applyAlignment="1" applyProtection="1">
      <alignment horizontal="right"/>
      <protection locked="0"/>
    </xf>
    <xf numFmtId="2" fontId="0" fillId="16" borderId="18" xfId="0" applyNumberFormat="1" applyFill="1" applyBorder="1" applyAlignment="1" applyProtection="1">
      <alignment horizontal="left"/>
      <protection locked="0"/>
    </xf>
    <xf numFmtId="2" fontId="0" fillId="16" borderId="1" xfId="0" applyNumberFormat="1" applyFill="1" applyBorder="1" applyAlignment="1" applyProtection="1">
      <alignment horizontal="left"/>
      <protection locked="0"/>
    </xf>
    <xf numFmtId="165" fontId="1" fillId="16" borderId="71" xfId="2" applyNumberFormat="1" applyFill="1" applyBorder="1" applyAlignment="1" applyProtection="1">
      <alignment horizontal="center" vertical="center"/>
      <protection locked="0"/>
    </xf>
    <xf numFmtId="0" fontId="2" fillId="19" borderId="71" xfId="0" applyFont="1" applyFill="1" applyBorder="1" applyAlignment="1">
      <alignment horizontal="center" vertical="center" wrapText="1"/>
    </xf>
    <xf numFmtId="0" fontId="2" fillId="19" borderId="67" xfId="0" applyFont="1" applyFill="1" applyBorder="1" applyAlignment="1">
      <alignment horizontal="center" vertical="center" wrapText="1"/>
    </xf>
    <xf numFmtId="0" fontId="2" fillId="19" borderId="33" xfId="0" applyFont="1" applyFill="1" applyBorder="1" applyAlignment="1">
      <alignment horizontal="center" vertical="center" wrapText="1"/>
    </xf>
    <xf numFmtId="171" fontId="0" fillId="19" borderId="7" xfId="0" applyNumberFormat="1" applyFill="1" applyBorder="1" applyAlignment="1">
      <alignment vertical="center" wrapText="1"/>
    </xf>
    <xf numFmtId="171" fontId="0" fillId="19" borderId="8" xfId="0" applyNumberFormat="1" applyFill="1" applyBorder="1" applyAlignment="1">
      <alignment vertical="center" wrapText="1"/>
    </xf>
    <xf numFmtId="171" fontId="0" fillId="19" borderId="9" xfId="0" applyNumberFormat="1" applyFill="1" applyBorder="1" applyAlignment="1">
      <alignment vertical="center" wrapText="1"/>
    </xf>
    <xf numFmtId="171" fontId="0" fillId="19" borderId="18" xfId="0" applyNumberFormat="1" applyFill="1" applyBorder="1" applyAlignment="1">
      <alignment vertical="center" wrapText="1"/>
    </xf>
    <xf numFmtId="171" fontId="0" fillId="19" borderId="1" xfId="0" applyNumberFormat="1" applyFill="1" applyBorder="1" applyAlignment="1">
      <alignment vertical="center" wrapText="1"/>
    </xf>
    <xf numFmtId="171" fontId="0" fillId="19" borderId="11" xfId="0" applyNumberFormat="1" applyFill="1" applyBorder="1" applyAlignment="1">
      <alignment vertical="center" wrapText="1"/>
    </xf>
    <xf numFmtId="171" fontId="0" fillId="19" borderId="19" xfId="0" applyNumberFormat="1" applyFill="1" applyBorder="1" applyAlignment="1">
      <alignment vertical="center" wrapText="1"/>
    </xf>
    <xf numFmtId="171" fontId="0" fillId="19" borderId="20" xfId="0" applyNumberFormat="1" applyFill="1" applyBorder="1" applyAlignment="1">
      <alignment vertical="center" wrapText="1"/>
    </xf>
    <xf numFmtId="171" fontId="0" fillId="19" borderId="14" xfId="0" applyNumberFormat="1" applyFill="1" applyBorder="1" applyAlignment="1">
      <alignment vertical="center" wrapText="1"/>
    </xf>
    <xf numFmtId="0" fontId="0" fillId="6" borderId="20"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6" borderId="14"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6" borderId="13"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19" borderId="19"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3" borderId="21" xfId="0" applyFill="1" applyBorder="1" applyAlignment="1" applyProtection="1">
      <alignment horizontal="center" wrapText="1"/>
      <protection locked="0"/>
    </xf>
    <xf numFmtId="0" fontId="0" fillId="13" borderId="36" xfId="0" applyFill="1" applyBorder="1" applyAlignment="1" applyProtection="1">
      <alignment horizontal="center" wrapText="1"/>
      <protection locked="0"/>
    </xf>
    <xf numFmtId="0" fontId="0" fillId="13" borderId="56" xfId="0" applyFill="1" applyBorder="1" applyAlignment="1" applyProtection="1">
      <alignment horizontal="center" wrapText="1"/>
      <protection locked="0"/>
    </xf>
    <xf numFmtId="0" fontId="4" fillId="19" borderId="38" xfId="0" applyFont="1" applyFill="1" applyBorder="1" applyAlignment="1">
      <alignment wrapText="1"/>
    </xf>
    <xf numFmtId="0" fontId="0" fillId="7" borderId="39" xfId="0" applyFill="1" applyBorder="1" applyAlignment="1">
      <alignment wrapText="1"/>
    </xf>
    <xf numFmtId="0" fontId="4" fillId="7" borderId="7" xfId="0" applyFont="1" applyFill="1" applyBorder="1" applyAlignment="1">
      <alignment wrapText="1"/>
    </xf>
    <xf numFmtId="0" fontId="9" fillId="0" borderId="32" xfId="0" applyFont="1" applyBorder="1" applyAlignment="1">
      <alignment horizontal="left" vertical="center" wrapText="1"/>
    </xf>
    <xf numFmtId="0" fontId="7" fillId="0" borderId="19" xfId="0" applyFont="1" applyBorder="1" applyAlignment="1">
      <alignment horizontal="left" vertical="top" wrapText="1"/>
    </xf>
    <xf numFmtId="0" fontId="31" fillId="0" borderId="0" xfId="0" applyFont="1"/>
    <xf numFmtId="0" fontId="0" fillId="0" borderId="51" xfId="0" applyBorder="1" applyAlignment="1">
      <alignment horizontal="center" vertical="center" wrapText="1"/>
    </xf>
    <xf numFmtId="2" fontId="0" fillId="20" borderId="1" xfId="0" applyNumberFormat="1" applyFill="1" applyBorder="1" applyProtection="1">
      <protection locked="0"/>
    </xf>
    <xf numFmtId="0" fontId="2" fillId="0" borderId="71" xfId="0" applyFont="1" applyBorder="1" applyAlignment="1" applyProtection="1">
      <alignment horizontal="center" vertical="center"/>
      <protection locked="0"/>
    </xf>
    <xf numFmtId="2" fontId="0" fillId="20" borderId="2" xfId="0" applyNumberFormat="1" applyFill="1" applyBorder="1" applyProtection="1">
      <protection locked="0"/>
    </xf>
    <xf numFmtId="2" fontId="0" fillId="16" borderId="2" xfId="0" applyNumberFormat="1" applyFill="1" applyBorder="1" applyAlignment="1" applyProtection="1">
      <alignment horizontal="left"/>
      <protection locked="0"/>
    </xf>
    <xf numFmtId="0" fontId="0" fillId="0" borderId="40" xfId="0" applyBorder="1"/>
    <xf numFmtId="0" fontId="0" fillId="0" borderId="4" xfId="0" applyBorder="1"/>
    <xf numFmtId="0" fontId="0" fillId="0" borderId="8" xfId="0" applyBorder="1" applyAlignment="1" applyProtection="1">
      <alignment horizontal="left"/>
      <protection locked="0"/>
    </xf>
    <xf numFmtId="0" fontId="0" fillId="0" borderId="1" xfId="0" applyBorder="1" applyAlignment="1" applyProtection="1">
      <alignment horizontal="left"/>
      <protection locked="0"/>
    </xf>
    <xf numFmtId="2" fontId="0" fillId="16" borderId="39" xfId="0" applyNumberFormat="1" applyFill="1" applyBorder="1" applyAlignment="1" applyProtection="1">
      <alignment horizontal="left"/>
      <protection locked="0"/>
    </xf>
    <xf numFmtId="2" fontId="0" fillId="16" borderId="48" xfId="0" applyNumberFormat="1" applyFill="1" applyBorder="1" applyAlignment="1" applyProtection="1">
      <alignment horizontal="left"/>
      <protection locked="0"/>
    </xf>
    <xf numFmtId="2" fontId="0" fillId="16" borderId="46" xfId="0" applyNumberFormat="1" applyFill="1" applyBorder="1" applyAlignment="1" applyProtection="1">
      <alignment horizontal="left"/>
      <protection locked="0"/>
    </xf>
    <xf numFmtId="0" fontId="6" fillId="6" borderId="14" xfId="3" applyFill="1" applyBorder="1" applyAlignment="1" applyProtection="1">
      <alignment vertical="top"/>
      <protection locked="0"/>
    </xf>
    <xf numFmtId="9" fontId="0" fillId="13" borderId="14" xfId="1" applyFont="1" applyFill="1" applyBorder="1" applyAlignment="1" applyProtection="1">
      <alignment horizontal="right"/>
    </xf>
    <xf numFmtId="9" fontId="0" fillId="13" borderId="44" xfId="1" applyFont="1" applyFill="1" applyBorder="1" applyAlignment="1" applyProtection="1">
      <alignment horizontal="right"/>
    </xf>
    <xf numFmtId="0" fontId="0" fillId="0" borderId="18" xfId="0" applyBorder="1" applyProtection="1">
      <protection locked="0"/>
    </xf>
    <xf numFmtId="0" fontId="0" fillId="0" borderId="30" xfId="0" applyBorder="1" applyProtection="1">
      <protection locked="0"/>
    </xf>
    <xf numFmtId="0" fontId="0" fillId="0" borderId="19" xfId="0" applyBorder="1" applyProtection="1">
      <protection locked="0"/>
    </xf>
    <xf numFmtId="0" fontId="0" fillId="0" borderId="32" xfId="0" applyBorder="1" applyProtection="1">
      <protection locked="0"/>
    </xf>
    <xf numFmtId="0" fontId="2" fillId="0" borderId="91" xfId="0" applyFont="1" applyBorder="1" applyAlignment="1">
      <alignment horizontal="center" vertical="center" wrapText="1"/>
    </xf>
    <xf numFmtId="0" fontId="2" fillId="0" borderId="42" xfId="0" applyFont="1" applyBorder="1" applyAlignment="1">
      <alignment horizontal="center" vertical="center" wrapText="1"/>
    </xf>
    <xf numFmtId="0" fontId="0" fillId="6" borderId="9" xfId="0" applyFill="1" applyBorder="1" applyProtection="1">
      <protection locked="0"/>
      <extLst>
        <ext xmlns:xfpb="http://schemas.microsoft.com/office/spreadsheetml/2022/featurepropertybag" uri="{C7286773-470A-42A8-94C5-96B5CB345126}">
          <xfpb:xfComplement i="0"/>
        </ext>
      </extLst>
    </xf>
    <xf numFmtId="0" fontId="0" fillId="6" borderId="11" xfId="0" applyFill="1" applyBorder="1" applyProtection="1">
      <protection locked="0"/>
      <extLst>
        <ext xmlns:xfpb="http://schemas.microsoft.com/office/spreadsheetml/2022/featurepropertybag" uri="{C7286773-470A-42A8-94C5-96B5CB345126}">
          <xfpb:xfComplement i="0"/>
        </ext>
      </extLst>
    </xf>
    <xf numFmtId="0" fontId="0" fillId="6" borderId="14" xfId="0" applyFill="1" applyBorder="1" applyProtection="1">
      <protection locked="0"/>
      <extLst>
        <ext xmlns:xfpb="http://schemas.microsoft.com/office/spreadsheetml/2022/featurepropertybag" uri="{C7286773-470A-42A8-94C5-96B5CB345126}">
          <xfpb:xfComplement i="0"/>
        </ext>
      </extLst>
    </xf>
    <xf numFmtId="0" fontId="0" fillId="6" borderId="1" xfId="0" applyFill="1" applyBorder="1" applyProtection="1">
      <protection locked="0"/>
      <extLst>
        <ext xmlns:xfpb="http://schemas.microsoft.com/office/spreadsheetml/2022/featurepropertybag" uri="{C7286773-470A-42A8-94C5-96B5CB345126}">
          <xfpb:xfComplement i="0"/>
        </ext>
      </extLst>
    </xf>
    <xf numFmtId="0" fontId="0" fillId="6" borderId="48" xfId="0" applyFill="1" applyBorder="1" applyProtection="1">
      <protection locked="0"/>
      <extLst>
        <ext xmlns:xfpb="http://schemas.microsoft.com/office/spreadsheetml/2022/featurepropertybag" uri="{C7286773-470A-42A8-94C5-96B5CB345126}">
          <xfpb:xfComplement i="0"/>
        </ext>
      </extLst>
    </xf>
    <xf numFmtId="0" fontId="0" fillId="6" borderId="24" xfId="0" applyFill="1" applyBorder="1" applyProtection="1">
      <protection locked="0"/>
      <extLst>
        <ext xmlns:xfpb="http://schemas.microsoft.com/office/spreadsheetml/2022/featurepropertybag" uri="{C7286773-470A-42A8-94C5-96B5CB345126}">
          <xfpb:xfComplement i="0"/>
        </ext>
      </extLst>
    </xf>
    <xf numFmtId="0" fontId="0" fillId="6" borderId="4" xfId="0" applyFill="1" applyBorder="1" applyProtection="1">
      <protection locked="0"/>
      <extLst>
        <ext xmlns:xfpb="http://schemas.microsoft.com/office/spreadsheetml/2022/featurepropertybag" uri="{C7286773-470A-42A8-94C5-96B5CB345126}">
          <xfpb:xfComplement i="0"/>
        </ext>
      </extLst>
    </xf>
    <xf numFmtId="0" fontId="0" fillId="6" borderId="13" xfId="0" applyFill="1" applyBorder="1" applyProtection="1">
      <protection locked="0"/>
      <extLst>
        <ext xmlns:xfpb="http://schemas.microsoft.com/office/spreadsheetml/2022/featurepropertybag" uri="{C7286773-470A-42A8-94C5-96B5CB345126}">
          <xfpb:xfComplement i="0"/>
        </ext>
      </extLst>
    </xf>
    <xf numFmtId="0" fontId="0" fillId="0" borderId="15" xfId="0" applyBorder="1"/>
    <xf numFmtId="0" fontId="2" fillId="0" borderId="0" xfId="0" applyFont="1" applyAlignment="1">
      <alignment wrapText="1"/>
    </xf>
    <xf numFmtId="0" fontId="9" fillId="0" borderId="0" xfId="0" applyFont="1" applyAlignment="1">
      <alignment wrapText="1"/>
    </xf>
    <xf numFmtId="0" fontId="0" fillId="0" borderId="13" xfId="0" applyBorder="1" applyAlignment="1">
      <alignment horizontal="left" vertical="top" wrapText="1"/>
    </xf>
    <xf numFmtId="0" fontId="10" fillId="0" borderId="2" xfId="0" applyFont="1" applyBorder="1" applyAlignment="1">
      <alignment horizontal="center" vertical="center" wrapText="1"/>
    </xf>
    <xf numFmtId="0" fontId="10" fillId="0" borderId="1" xfId="3" applyFont="1" applyFill="1" applyBorder="1" applyAlignment="1">
      <alignment horizontal="center" vertical="center" wrapText="1"/>
    </xf>
    <xf numFmtId="0" fontId="0" fillId="0" borderId="26" xfId="0" applyBorder="1"/>
    <xf numFmtId="0" fontId="10" fillId="0" borderId="39" xfId="0" applyFont="1" applyBorder="1" applyAlignment="1">
      <alignment horizontal="center" vertical="center" wrapText="1"/>
    </xf>
    <xf numFmtId="0" fontId="10" fillId="0" borderId="48" xfId="0" applyFont="1" applyBorder="1" applyAlignment="1">
      <alignment horizontal="center" vertical="center" wrapText="1"/>
    </xf>
    <xf numFmtId="0" fontId="0" fillId="7" borderId="67" xfId="0" applyFill="1" applyBorder="1"/>
    <xf numFmtId="0" fontId="0" fillId="7" borderId="92" xfId="0" applyFill="1" applyBorder="1"/>
    <xf numFmtId="0" fontId="0" fillId="7" borderId="74" xfId="0" applyFill="1" applyBorder="1"/>
    <xf numFmtId="0" fontId="4" fillId="0" borderId="1" xfId="0" applyFont="1" applyBorder="1" applyAlignment="1">
      <alignment horizontal="center" vertical="center" wrapText="1"/>
    </xf>
    <xf numFmtId="0" fontId="4" fillId="7" borderId="1" xfId="0" applyFont="1" applyFill="1" applyBorder="1" applyAlignment="1">
      <alignment horizontal="center" vertical="center" wrapText="1"/>
    </xf>
    <xf numFmtId="0" fontId="9" fillId="0" borderId="7" xfId="0" applyFont="1" applyBorder="1" applyAlignment="1">
      <alignment horizontal="left" vertical="center" wrapText="1"/>
    </xf>
    <xf numFmtId="2" fontId="0" fillId="6" borderId="1" xfId="0" applyNumberFormat="1" applyFill="1" applyBorder="1" applyAlignment="1" applyProtection="1">
      <alignment horizontal="right" vertical="center"/>
      <protection locked="0"/>
    </xf>
    <xf numFmtId="2" fontId="0" fillId="13" borderId="20" xfId="0" applyNumberFormat="1" applyFill="1" applyBorder="1" applyAlignment="1" applyProtection="1">
      <alignment horizontal="right" vertical="center"/>
      <protection locked="0"/>
    </xf>
    <xf numFmtId="2" fontId="0" fillId="13" borderId="6" xfId="2" applyFont="1" applyFill="1" applyBorder="1" applyAlignment="1">
      <alignment horizontal="right" vertical="center"/>
    </xf>
    <xf numFmtId="2" fontId="0" fillId="13" borderId="43" xfId="2" applyFont="1" applyFill="1" applyBorder="1" applyAlignment="1">
      <alignment horizontal="right" vertical="center"/>
    </xf>
    <xf numFmtId="2" fontId="0" fillId="13" borderId="20" xfId="2" applyFont="1" applyFill="1" applyBorder="1" applyAlignment="1">
      <alignment horizontal="right" vertical="center"/>
    </xf>
    <xf numFmtId="2" fontId="0" fillId="6" borderId="1" xfId="0" applyNumberFormat="1" applyFill="1" applyBorder="1" applyAlignment="1" applyProtection="1">
      <alignment horizontal="right"/>
      <protection locked="0"/>
    </xf>
    <xf numFmtId="2" fontId="0" fillId="13" borderId="20" xfId="0" applyNumberFormat="1" applyFill="1" applyBorder="1" applyAlignment="1">
      <alignment horizontal="right" vertical="center"/>
    </xf>
    <xf numFmtId="2" fontId="0" fillId="6" borderId="11" xfId="0" applyNumberFormat="1" applyFill="1" applyBorder="1" applyAlignment="1" applyProtection="1">
      <alignment horizontal="right"/>
      <protection locked="0"/>
    </xf>
    <xf numFmtId="2" fontId="0" fillId="6" borderId="20" xfId="0" applyNumberFormat="1" applyFill="1" applyBorder="1" applyAlignment="1" applyProtection="1">
      <alignment horizontal="right"/>
      <protection locked="0"/>
    </xf>
    <xf numFmtId="2" fontId="0" fillId="6" borderId="14" xfId="0" applyNumberFormat="1" applyFill="1" applyBorder="1" applyAlignment="1" applyProtection="1">
      <alignment horizontal="right"/>
      <protection locked="0"/>
    </xf>
    <xf numFmtId="2" fontId="0" fillId="6" borderId="6" xfId="0" applyNumberFormat="1" applyFill="1" applyBorder="1" applyAlignment="1" applyProtection="1">
      <alignment horizontal="right"/>
      <protection locked="0"/>
    </xf>
    <xf numFmtId="2" fontId="0" fillId="6" borderId="44" xfId="0" applyNumberFormat="1" applyFill="1" applyBorder="1" applyAlignment="1" applyProtection="1">
      <alignment horizontal="right"/>
      <protection locked="0"/>
    </xf>
    <xf numFmtId="2" fontId="0" fillId="6" borderId="51" xfId="0" applyNumberFormat="1" applyFill="1" applyBorder="1" applyAlignment="1" applyProtection="1">
      <alignment horizontal="right"/>
      <protection locked="0"/>
    </xf>
    <xf numFmtId="2" fontId="0" fillId="0" borderId="11" xfId="0" applyNumberFormat="1" applyBorder="1" applyAlignment="1" applyProtection="1">
      <alignment horizontal="right" vertical="center"/>
      <protection locked="0"/>
    </xf>
    <xf numFmtId="2" fontId="0" fillId="0" borderId="14" xfId="0" applyNumberFormat="1" applyBorder="1" applyAlignment="1" applyProtection="1">
      <alignment horizontal="right" vertical="center" wrapText="1"/>
      <protection locked="0"/>
    </xf>
    <xf numFmtId="2" fontId="0" fillId="0" borderId="1" xfId="0" applyNumberFormat="1" applyBorder="1" applyAlignment="1" applyProtection="1">
      <alignment horizontal="right" vertical="center" wrapText="1"/>
      <protection locked="0"/>
    </xf>
    <xf numFmtId="2" fontId="0" fillId="0" borderId="5" xfId="0" applyNumberFormat="1" applyBorder="1" applyAlignment="1" applyProtection="1">
      <alignment horizontal="right" vertical="center" wrapText="1"/>
      <protection locked="0"/>
    </xf>
    <xf numFmtId="2" fontId="0" fillId="13" borderId="51" xfId="0" applyNumberFormat="1" applyFill="1" applyBorder="1" applyAlignment="1">
      <alignment horizontal="right" vertical="center"/>
    </xf>
    <xf numFmtId="2" fontId="0" fillId="0" borderId="1" xfId="0" applyNumberFormat="1" applyBorder="1" applyAlignment="1" applyProtection="1">
      <alignment horizontal="right" vertical="center"/>
      <protection locked="0"/>
    </xf>
    <xf numFmtId="2" fontId="0" fillId="13" borderId="11" xfId="0" applyNumberFormat="1" applyFill="1" applyBorder="1" applyAlignment="1">
      <alignment horizontal="right" vertical="center"/>
    </xf>
    <xf numFmtId="2" fontId="0" fillId="0" borderId="20" xfId="0" applyNumberFormat="1" applyBorder="1" applyAlignment="1" applyProtection="1">
      <alignment horizontal="right"/>
      <protection locked="0"/>
    </xf>
    <xf numFmtId="2" fontId="0" fillId="13" borderId="14" xfId="0" applyNumberFormat="1" applyFill="1" applyBorder="1" applyAlignment="1">
      <alignment horizontal="right" vertical="center"/>
    </xf>
    <xf numFmtId="2" fontId="0" fillId="0" borderId="6" xfId="0" applyNumberFormat="1" applyBorder="1" applyAlignment="1" applyProtection="1">
      <alignment horizontal="right" vertical="center"/>
      <protection locked="0"/>
    </xf>
    <xf numFmtId="2" fontId="0" fillId="13" borderId="44" xfId="0" applyNumberFormat="1" applyFill="1" applyBorder="1" applyAlignment="1">
      <alignment horizontal="right" vertical="center"/>
    </xf>
    <xf numFmtId="2" fontId="0" fillId="0" borderId="20" xfId="0" applyNumberFormat="1" applyBorder="1" applyAlignment="1" applyProtection="1">
      <alignment horizontal="right" vertical="center"/>
      <protection locked="0"/>
    </xf>
    <xf numFmtId="2" fontId="0" fillId="6" borderId="11" xfId="0" applyNumberFormat="1" applyFill="1" applyBorder="1" applyAlignment="1" applyProtection="1">
      <alignment horizontal="right" vertical="center"/>
      <protection locked="0"/>
    </xf>
    <xf numFmtId="2" fontId="0" fillId="6" borderId="51" xfId="0" applyNumberFormat="1" applyFill="1" applyBorder="1" applyAlignment="1" applyProtection="1">
      <alignment horizontal="right" vertical="center"/>
      <protection locked="0"/>
    </xf>
    <xf numFmtId="2" fontId="0" fillId="6" borderId="9" xfId="0" applyNumberFormat="1" applyFill="1" applyBorder="1" applyAlignment="1" applyProtection="1">
      <alignment horizontal="right" vertical="center"/>
      <protection locked="0"/>
    </xf>
    <xf numFmtId="2" fontId="0" fillId="6" borderId="58" xfId="0" applyNumberFormat="1" applyFill="1" applyBorder="1" applyAlignment="1" applyProtection="1">
      <alignment horizontal="right" vertical="center"/>
      <protection locked="0"/>
    </xf>
    <xf numFmtId="2" fontId="0" fillId="6" borderId="44" xfId="0" applyNumberFormat="1" applyFill="1" applyBorder="1" applyAlignment="1" applyProtection="1">
      <alignment horizontal="right" vertical="center"/>
      <protection locked="0"/>
    </xf>
    <xf numFmtId="2" fontId="0" fillId="6" borderId="14" xfId="0" applyNumberFormat="1" applyFill="1" applyBorder="1" applyAlignment="1" applyProtection="1">
      <alignment horizontal="right" vertical="center"/>
      <protection locked="0"/>
    </xf>
    <xf numFmtId="2" fontId="0" fillId="13" borderId="58" xfId="0" applyNumberFormat="1" applyFill="1" applyBorder="1" applyAlignment="1">
      <alignment horizontal="right" vertical="center" wrapText="1"/>
    </xf>
    <xf numFmtId="9" fontId="0" fillId="19" borderId="11" xfId="1" applyFont="1" applyFill="1" applyBorder="1" applyAlignment="1" applyProtection="1">
      <alignment horizontal="right"/>
    </xf>
    <xf numFmtId="0" fontId="2" fillId="0" borderId="1" xfId="0" applyFont="1" applyBorder="1" applyAlignment="1">
      <alignment horizontal="center" vertical="center" wrapText="1"/>
    </xf>
    <xf numFmtId="0" fontId="9" fillId="6" borderId="11" xfId="3" applyFont="1" applyFill="1" applyBorder="1" applyAlignment="1" applyProtection="1">
      <alignment horizontal="left" vertical="top" wrapText="1"/>
      <protection locked="0"/>
    </xf>
    <xf numFmtId="2" fontId="9" fillId="6" borderId="11" xfId="3" applyNumberFormat="1" applyFont="1" applyFill="1" applyBorder="1" applyAlignment="1" applyProtection="1">
      <alignment horizontal="right" vertical="top"/>
      <protection locked="0"/>
    </xf>
    <xf numFmtId="0" fontId="1" fillId="6" borderId="14" xfId="0" applyFont="1" applyFill="1" applyBorder="1" applyAlignment="1" applyProtection="1">
      <alignment horizontal="left" vertical="top"/>
      <protection locked="0"/>
    </xf>
    <xf numFmtId="2" fontId="0" fillId="13" borderId="11" xfId="2" applyFont="1" applyFill="1" applyBorder="1" applyAlignment="1">
      <alignment horizontal="right"/>
    </xf>
    <xf numFmtId="2" fontId="0" fillId="13" borderId="14" xfId="2" applyFont="1" applyFill="1" applyBorder="1" applyAlignment="1">
      <alignment horizontal="right"/>
    </xf>
    <xf numFmtId="2" fontId="0" fillId="17" borderId="6" xfId="0" applyNumberFormat="1" applyFill="1" applyBorder="1"/>
    <xf numFmtId="2" fontId="0" fillId="17" borderId="43" xfId="0" applyNumberFormat="1" applyFill="1" applyBorder="1"/>
    <xf numFmtId="2" fontId="0" fillId="17" borderId="2" xfId="0" applyNumberFormat="1" applyFill="1" applyBorder="1"/>
    <xf numFmtId="2" fontId="21" fillId="17" borderId="2" xfId="0" applyNumberFormat="1" applyFont="1" applyFill="1" applyBorder="1" applyAlignment="1">
      <alignment horizontal="right"/>
    </xf>
    <xf numFmtId="2" fontId="0" fillId="17" borderId="1" xfId="0" applyNumberFormat="1" applyFill="1" applyBorder="1"/>
    <xf numFmtId="2" fontId="2" fillId="17" borderId="2" xfId="0" applyNumberFormat="1" applyFont="1" applyFill="1" applyBorder="1"/>
    <xf numFmtId="2" fontId="0" fillId="17" borderId="48" xfId="0" applyNumberFormat="1" applyFill="1" applyBorder="1"/>
    <xf numFmtId="2" fontId="0" fillId="17" borderId="46" xfId="0" applyNumberFormat="1" applyFill="1" applyBorder="1"/>
    <xf numFmtId="0" fontId="2" fillId="0" borderId="71" xfId="0" applyFont="1" applyBorder="1" applyAlignment="1">
      <alignment horizontal="left" vertical="center"/>
    </xf>
    <xf numFmtId="0" fontId="0" fillId="7" borderId="26" xfId="0" applyFill="1" applyBorder="1" applyAlignment="1">
      <alignment horizontal="center"/>
    </xf>
    <xf numFmtId="2" fontId="0" fillId="20" borderId="11" xfId="0" applyNumberFormat="1" applyFill="1" applyBorder="1" applyAlignment="1">
      <alignment horizontal="center"/>
    </xf>
    <xf numFmtId="0" fontId="0" fillId="0" borderId="26" xfId="0" applyBorder="1" applyAlignment="1">
      <alignment horizontal="center"/>
    </xf>
    <xf numFmtId="0" fontId="9" fillId="7" borderId="52" xfId="3" quotePrefix="1" applyFont="1" applyFill="1" applyBorder="1" applyAlignment="1" applyProtection="1">
      <alignment horizontal="left"/>
    </xf>
    <xf numFmtId="0" fontId="6" fillId="7" borderId="5" xfId="3" quotePrefix="1" applyFill="1" applyBorder="1" applyAlignment="1" applyProtection="1">
      <alignment horizontal="left"/>
    </xf>
    <xf numFmtId="0" fontId="6" fillId="7" borderId="47" xfId="3" quotePrefix="1" applyFill="1" applyBorder="1" applyAlignment="1" applyProtection="1">
      <alignment horizontal="left"/>
    </xf>
    <xf numFmtId="0" fontId="0" fillId="13" borderId="0" xfId="0" applyFill="1" applyAlignment="1">
      <alignment wrapText="1"/>
    </xf>
    <xf numFmtId="0" fontId="0" fillId="5" borderId="0" xfId="0" applyFill="1" applyAlignment="1">
      <alignment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26" fillId="0" borderId="1" xfId="0" applyFont="1" applyBorder="1" applyAlignment="1">
      <alignment horizontal="center" vertical="center"/>
    </xf>
    <xf numFmtId="0" fontId="2" fillId="0" borderId="50" xfId="0" applyFont="1" applyBorder="1" applyAlignment="1">
      <alignment horizontal="center" vertical="center" wrapText="1"/>
    </xf>
    <xf numFmtId="0" fontId="2" fillId="0" borderId="50" xfId="0" applyFont="1" applyBorder="1" applyAlignment="1">
      <alignment horizontal="left" vertical="center"/>
    </xf>
    <xf numFmtId="0" fontId="2" fillId="0" borderId="55" xfId="0" applyFont="1" applyBorder="1" applyAlignment="1">
      <alignment horizontal="center" vertical="center" wrapText="1"/>
    </xf>
    <xf numFmtId="0" fontId="0" fillId="0" borderId="0" xfId="0" applyAlignment="1">
      <alignment indent="1"/>
    </xf>
    <xf numFmtId="0" fontId="0" fillId="0" borderId="0" xfId="0" applyAlignment="1">
      <alignment indent="3"/>
    </xf>
    <xf numFmtId="0" fontId="0" fillId="0" borderId="0" xfId="0" applyAlignment="1">
      <alignment indent="2"/>
    </xf>
    <xf numFmtId="2" fontId="0" fillId="0" borderId="0" xfId="0" applyNumberFormat="1"/>
    <xf numFmtId="0" fontId="0" fillId="0" borderId="0" xfId="0" applyAlignment="1">
      <alignment indent="4"/>
    </xf>
    <xf numFmtId="0" fontId="0" fillId="0" borderId="0" xfId="0" applyAlignment="1">
      <alignment indent="5"/>
    </xf>
    <xf numFmtId="0" fontId="16" fillId="0" borderId="0" xfId="0" applyFont="1"/>
    <xf numFmtId="14" fontId="16" fillId="0" borderId="0" xfId="0" applyNumberFormat="1" applyFont="1" applyAlignment="1">
      <alignment horizontal="left"/>
    </xf>
    <xf numFmtId="0" fontId="0" fillId="11" borderId="0" xfId="0" applyFill="1"/>
    <xf numFmtId="0" fontId="6" fillId="0" borderId="0" xfId="3" applyProtection="1"/>
    <xf numFmtId="0" fontId="15" fillId="11" borderId="0" xfId="0" applyFont="1" applyFill="1"/>
    <xf numFmtId="0" fontId="15" fillId="0" borderId="0" xfId="0" applyFont="1"/>
    <xf numFmtId="0" fontId="22" fillId="11" borderId="0" xfId="0" applyFont="1" applyFill="1" applyAlignment="1">
      <alignment vertical="center" wrapText="1"/>
    </xf>
    <xf numFmtId="0" fontId="19" fillId="11" borderId="0" xfId="0" applyFont="1" applyFill="1" applyAlignment="1">
      <alignment horizontal="left" vertical="center" wrapText="1"/>
    </xf>
    <xf numFmtId="0" fontId="27" fillId="11" borderId="46" xfId="0" applyFont="1" applyFill="1" applyBorder="1"/>
    <xf numFmtId="0" fontId="18" fillId="0" borderId="5" xfId="0" applyFont="1" applyBorder="1"/>
    <xf numFmtId="0" fontId="18" fillId="0" borderId="53" xfId="0" applyFont="1" applyBorder="1"/>
    <xf numFmtId="0" fontId="18" fillId="0" borderId="0" xfId="0" applyFont="1"/>
    <xf numFmtId="0" fontId="18" fillId="11" borderId="0" xfId="0" applyFont="1" applyFill="1" applyAlignment="1">
      <alignment vertical="center" wrapText="1"/>
    </xf>
    <xf numFmtId="0" fontId="18" fillId="11" borderId="0" xfId="0" applyFont="1" applyFill="1" applyAlignment="1">
      <alignment vertical="top" wrapText="1"/>
    </xf>
    <xf numFmtId="0" fontId="0" fillId="0" borderId="0" xfId="0" applyAlignment="1">
      <alignment vertical="top"/>
    </xf>
    <xf numFmtId="0" fontId="27" fillId="0" borderId="0" xfId="0" applyFont="1" applyAlignment="1">
      <alignment vertical="center"/>
    </xf>
    <xf numFmtId="0" fontId="27" fillId="21" borderId="2" xfId="0" applyFont="1" applyFill="1" applyBorder="1" applyAlignment="1">
      <alignment horizontal="left" vertical="center"/>
    </xf>
    <xf numFmtId="0" fontId="14" fillId="0" borderId="0" xfId="0" applyFont="1" applyAlignment="1">
      <alignment horizontal="center" vertical="center"/>
    </xf>
    <xf numFmtId="0" fontId="27" fillId="12" borderId="2" xfId="0" applyFont="1" applyFill="1" applyBorder="1" applyAlignment="1">
      <alignment horizontal="left" vertical="center"/>
    </xf>
    <xf numFmtId="0" fontId="18" fillId="0" borderId="0" xfId="0" applyFont="1" applyAlignment="1">
      <alignment vertical="center"/>
    </xf>
    <xf numFmtId="0" fontId="27" fillId="4" borderId="2" xfId="0" applyFont="1" applyFill="1" applyBorder="1" applyAlignment="1">
      <alignment horizontal="left" vertical="center"/>
    </xf>
    <xf numFmtId="0" fontId="28" fillId="13" borderId="2" xfId="0" applyFont="1" applyFill="1" applyBorder="1" applyAlignment="1">
      <alignment horizontal="left" vertical="center" wrapText="1"/>
    </xf>
    <xf numFmtId="0" fontId="18" fillId="0" borderId="0" xfId="0" applyFont="1" applyAlignment="1">
      <alignment vertical="center" wrapText="1"/>
    </xf>
    <xf numFmtId="0" fontId="28" fillId="19" borderId="2" xfId="0" applyFont="1" applyFill="1" applyBorder="1" applyAlignment="1">
      <alignment horizontal="left" vertical="center" wrapText="1"/>
    </xf>
    <xf numFmtId="0" fontId="28" fillId="6" borderId="2" xfId="0" applyFont="1" applyFill="1" applyBorder="1" applyAlignment="1">
      <alignment horizontal="left" vertical="center" wrapText="1"/>
    </xf>
    <xf numFmtId="0" fontId="27" fillId="10" borderId="2" xfId="0" applyFont="1" applyFill="1" applyBorder="1" applyAlignment="1">
      <alignment horizontal="left" vertical="center" wrapText="1"/>
    </xf>
    <xf numFmtId="0" fontId="27" fillId="9" borderId="2" xfId="0" applyFont="1" applyFill="1" applyBorder="1" applyAlignment="1">
      <alignment horizontal="left" vertical="center"/>
    </xf>
    <xf numFmtId="0" fontId="19" fillId="7" borderId="68" xfId="0" applyFont="1" applyFill="1" applyBorder="1" applyAlignment="1">
      <alignment horizontal="left" vertical="center"/>
    </xf>
    <xf numFmtId="0" fontId="27" fillId="0" borderId="43" xfId="0" applyFont="1" applyBorder="1" applyAlignment="1">
      <alignment horizontal="left" vertical="center"/>
    </xf>
    <xf numFmtId="0" fontId="18" fillId="0" borderId="0" xfId="0" applyFont="1" applyAlignment="1">
      <alignment horizontal="left" vertical="center" wrapText="1"/>
    </xf>
    <xf numFmtId="0" fontId="0" fillId="7" borderId="28" xfId="0" applyFill="1" applyBorder="1"/>
    <xf numFmtId="0" fontId="34" fillId="0" borderId="42" xfId="0" applyFont="1" applyBorder="1" applyAlignment="1">
      <alignment horizontal="center"/>
    </xf>
    <xf numFmtId="0" fontId="2" fillId="7" borderId="11" xfId="0" applyFont="1" applyFill="1" applyBorder="1" applyAlignment="1">
      <alignment horizontal="center" vertical="center"/>
    </xf>
    <xf numFmtId="0" fontId="0" fillId="7" borderId="30" xfId="0" applyFill="1" applyBorder="1" applyAlignment="1">
      <alignment horizontal="center" vertical="center"/>
    </xf>
    <xf numFmtId="0" fontId="34" fillId="0" borderId="51" xfId="0" applyFont="1" applyBorder="1" applyAlignment="1">
      <alignment horizontal="center" vertical="center"/>
    </xf>
    <xf numFmtId="0" fontId="7" fillId="7" borderId="39" xfId="3" applyFont="1" applyFill="1" applyBorder="1" applyProtection="1"/>
    <xf numFmtId="0" fontId="2" fillId="6" borderId="51" xfId="0" applyFont="1" applyFill="1" applyBorder="1" applyAlignment="1">
      <alignment horizontal="center" vertical="center"/>
    </xf>
    <xf numFmtId="0" fontId="6" fillId="7" borderId="90" xfId="3" quotePrefix="1" applyFill="1" applyBorder="1" applyAlignment="1" applyProtection="1">
      <alignment wrapText="1"/>
    </xf>
    <xf numFmtId="0" fontId="2" fillId="7" borderId="85" xfId="0" applyFont="1" applyFill="1" applyBorder="1" applyAlignment="1">
      <alignment horizontal="center" vertical="center"/>
    </xf>
    <xf numFmtId="0" fontId="6" fillId="7" borderId="30" xfId="3" quotePrefix="1" applyFill="1" applyBorder="1" applyAlignment="1" applyProtection="1">
      <alignment wrapText="1"/>
    </xf>
    <xf numFmtId="0" fontId="2" fillId="6" borderId="85" xfId="0" applyFont="1" applyFill="1" applyBorder="1" applyAlignment="1">
      <alignment horizontal="center" vertical="center"/>
    </xf>
    <xf numFmtId="0" fontId="6" fillId="7" borderId="25" xfId="3" applyFill="1" applyBorder="1" applyAlignment="1" applyProtection="1">
      <alignment wrapText="1"/>
    </xf>
    <xf numFmtId="0" fontId="7" fillId="7" borderId="39" xfId="3" applyFont="1" applyFill="1" applyBorder="1" applyAlignment="1" applyProtection="1">
      <alignment wrapText="1"/>
    </xf>
    <xf numFmtId="0" fontId="2" fillId="0" borderId="85" xfId="0" applyFont="1" applyBorder="1" applyAlignment="1">
      <alignment horizontal="center" vertical="center"/>
    </xf>
    <xf numFmtId="0" fontId="2" fillId="7" borderId="44" xfId="0" applyFont="1" applyFill="1" applyBorder="1" applyAlignment="1">
      <alignment horizontal="center" vertical="center"/>
    </xf>
    <xf numFmtId="0" fontId="7" fillId="7" borderId="25" xfId="3" applyFont="1" applyFill="1" applyBorder="1" applyAlignment="1" applyProtection="1">
      <alignment wrapText="1"/>
    </xf>
    <xf numFmtId="0" fontId="7" fillId="7" borderId="25" xfId="3" quotePrefix="1" applyFont="1" applyFill="1" applyBorder="1" applyAlignment="1" applyProtection="1">
      <alignment wrapText="1"/>
    </xf>
    <xf numFmtId="0" fontId="2" fillId="7" borderId="58" xfId="0" applyFont="1" applyFill="1" applyBorder="1" applyAlignment="1">
      <alignment horizontal="center" vertical="center"/>
    </xf>
    <xf numFmtId="0" fontId="0" fillId="7" borderId="49" xfId="0" applyFill="1" applyBorder="1"/>
    <xf numFmtId="0" fontId="0" fillId="7" borderId="10" xfId="0" applyFill="1" applyBorder="1"/>
    <xf numFmtId="0" fontId="9" fillId="7" borderId="10" xfId="0" applyFont="1" applyFill="1" applyBorder="1"/>
    <xf numFmtId="0" fontId="0" fillId="7" borderId="52" xfId="0" applyFill="1" applyBorder="1"/>
    <xf numFmtId="0" fontId="0" fillId="19" borderId="56" xfId="0"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14" fontId="2" fillId="0" borderId="0" xfId="0" quotePrefix="1" applyNumberFormat="1" applyFont="1" applyAlignment="1">
      <alignment horizontal="center" vertical="center"/>
    </xf>
    <xf numFmtId="0" fontId="0" fillId="0" borderId="49" xfId="0" applyBorder="1" applyProtection="1">
      <protection locked="0"/>
    </xf>
    <xf numFmtId="0" fontId="0" fillId="0" borderId="39" xfId="0" applyBorder="1" applyProtection="1">
      <protection locked="0"/>
    </xf>
    <xf numFmtId="0" fontId="0" fillId="0" borderId="10" xfId="0" applyBorder="1" applyProtection="1">
      <protection locked="0"/>
    </xf>
    <xf numFmtId="0" fontId="0" fillId="0" borderId="12" xfId="0" applyBorder="1" applyProtection="1">
      <protection locked="0"/>
    </xf>
    <xf numFmtId="0" fontId="0" fillId="0" borderId="1" xfId="0" applyBorder="1" applyAlignment="1" applyProtection="1">
      <alignment horizontal="center" wrapText="1"/>
      <protection locked="0"/>
    </xf>
    <xf numFmtId="0" fontId="0" fillId="0" borderId="1" xfId="0" applyBorder="1" applyAlignment="1">
      <alignment vertical="center" wrapText="1"/>
    </xf>
    <xf numFmtId="0" fontId="0" fillId="0" borderId="1" xfId="0" applyBorder="1" applyAlignment="1">
      <alignment horizontal="center"/>
    </xf>
    <xf numFmtId="0" fontId="0" fillId="0" borderId="1" xfId="0" applyBorder="1" applyAlignment="1">
      <alignment horizontal="center" vertical="center"/>
    </xf>
    <xf numFmtId="0" fontId="2" fillId="0" borderId="1" xfId="0" applyFont="1" applyBorder="1"/>
    <xf numFmtId="0" fontId="2" fillId="0" borderId="1" xfId="0" applyFont="1" applyBorder="1" applyAlignment="1">
      <alignment vertical="center"/>
    </xf>
    <xf numFmtId="0" fontId="2" fillId="0" borderId="1" xfId="0" applyFont="1" applyBorder="1" applyAlignment="1">
      <alignment vertical="center" wrapText="1"/>
    </xf>
    <xf numFmtId="0" fontId="0" fillId="0" borderId="1" xfId="0" quotePrefix="1" applyBorder="1" applyAlignment="1">
      <alignment horizontal="center" vertical="center" wrapText="1"/>
    </xf>
    <xf numFmtId="0" fontId="0" fillId="16" borderId="94" xfId="0" applyFill="1" applyBorder="1" applyAlignment="1" applyProtection="1">
      <alignment horizontal="center"/>
      <protection locked="0"/>
    </xf>
    <xf numFmtId="0" fontId="0" fillId="16" borderId="56" xfId="0" applyFill="1" applyBorder="1" applyAlignment="1" applyProtection="1">
      <alignment horizontal="center"/>
      <protection locked="0"/>
    </xf>
    <xf numFmtId="0" fontId="0" fillId="16" borderId="74" xfId="0" applyFill="1" applyBorder="1" applyAlignment="1" applyProtection="1">
      <alignment horizontal="center"/>
      <protection locked="0"/>
    </xf>
    <xf numFmtId="0" fontId="0" fillId="16" borderId="23" xfId="0" applyFill="1" applyBorder="1" applyAlignment="1" applyProtection="1">
      <alignment horizontal="center"/>
      <protection locked="0"/>
    </xf>
    <xf numFmtId="0" fontId="27" fillId="7" borderId="75" xfId="0" applyFont="1" applyFill="1" applyBorder="1"/>
    <xf numFmtId="0" fontId="2" fillId="7" borderId="0" xfId="0" applyFont="1" applyFill="1"/>
    <xf numFmtId="0" fontId="29" fillId="7" borderId="0" xfId="0" applyFont="1" applyFill="1" applyAlignment="1">
      <alignment horizontal="left" wrapText="1"/>
    </xf>
    <xf numFmtId="2" fontId="0" fillId="16" borderId="71" xfId="0" applyNumberFormat="1" applyFill="1" applyBorder="1" applyAlignment="1">
      <alignment horizontal="center"/>
    </xf>
    <xf numFmtId="0" fontId="18" fillId="7" borderId="0" xfId="0" applyFont="1" applyFill="1" applyAlignment="1">
      <alignment vertical="center" wrapText="1"/>
    </xf>
    <xf numFmtId="166" fontId="0" fillId="13" borderId="71" xfId="2" applyNumberFormat="1" applyFont="1" applyFill="1" applyBorder="1" applyAlignment="1">
      <alignment horizontal="center" vertical="center"/>
    </xf>
    <xf numFmtId="0" fontId="0" fillId="7" borderId="41" xfId="0" applyFill="1" applyBorder="1"/>
    <xf numFmtId="0" fontId="2" fillId="0" borderId="71" xfId="0" applyFont="1" applyBorder="1" applyAlignment="1">
      <alignment horizontal="center"/>
    </xf>
    <xf numFmtId="0" fontId="2" fillId="7" borderId="35" xfId="0" applyFont="1" applyFill="1" applyBorder="1" applyAlignment="1">
      <alignment horizontal="center"/>
    </xf>
    <xf numFmtId="0" fontId="2" fillId="7" borderId="71" xfId="0" applyFont="1" applyFill="1" applyBorder="1" applyAlignment="1">
      <alignment horizontal="center"/>
    </xf>
    <xf numFmtId="0" fontId="0" fillId="7" borderId="46" xfId="0" applyFill="1" applyBorder="1"/>
    <xf numFmtId="0" fontId="0" fillId="7" borderId="5" xfId="0" applyFill="1" applyBorder="1"/>
    <xf numFmtId="0" fontId="0" fillId="7" borderId="53" xfId="0" applyFill="1" applyBorder="1"/>
    <xf numFmtId="166" fontId="0" fillId="13" borderId="56" xfId="0" applyNumberFormat="1" applyFill="1" applyBorder="1" applyAlignment="1">
      <alignment horizontal="center"/>
    </xf>
    <xf numFmtId="166" fontId="0" fillId="13" borderId="94" xfId="0" applyNumberFormat="1" applyFill="1" applyBorder="1" applyAlignment="1">
      <alignment horizontal="center"/>
    </xf>
    <xf numFmtId="166" fontId="0" fillId="13" borderId="49" xfId="0" applyNumberFormat="1" applyFill="1" applyBorder="1" applyAlignment="1">
      <alignment horizontal="center"/>
    </xf>
    <xf numFmtId="0" fontId="2" fillId="7" borderId="25" xfId="0" applyFont="1" applyFill="1" applyBorder="1" applyAlignment="1">
      <alignment horizontal="center"/>
    </xf>
    <xf numFmtId="0" fontId="2" fillId="0" borderId="63" xfId="0" applyFont="1" applyBorder="1" applyAlignment="1">
      <alignment horizontal="center"/>
    </xf>
    <xf numFmtId="0" fontId="0" fillId="16" borderId="71" xfId="0" applyFill="1" applyBorder="1" applyAlignment="1">
      <alignment horizontal="center" vertical="center"/>
    </xf>
    <xf numFmtId="0" fontId="0" fillId="7" borderId="54" xfId="0" applyFill="1" applyBorder="1"/>
    <xf numFmtId="166" fontId="0" fillId="13" borderId="21" xfId="0" applyNumberFormat="1" applyFill="1" applyBorder="1" applyAlignment="1">
      <alignment horizontal="center"/>
    </xf>
    <xf numFmtId="166" fontId="0" fillId="13" borderId="64" xfId="0" applyNumberFormat="1" applyFill="1" applyBorder="1" applyAlignment="1">
      <alignment horizontal="center"/>
    </xf>
    <xf numFmtId="0" fontId="2" fillId="7" borderId="55" xfId="0" applyFont="1" applyFill="1" applyBorder="1" applyAlignment="1">
      <alignment horizontal="center"/>
    </xf>
    <xf numFmtId="0" fontId="0" fillId="7" borderId="55" xfId="0" applyFill="1" applyBorder="1"/>
    <xf numFmtId="0" fontId="0" fillId="0" borderId="55" xfId="0" applyBorder="1"/>
    <xf numFmtId="0" fontId="2" fillId="0" borderId="9" xfId="0" applyFont="1" applyBorder="1" applyAlignment="1">
      <alignment horizontal="center"/>
    </xf>
    <xf numFmtId="0" fontId="0" fillId="16" borderId="59" xfId="0" applyFill="1" applyBorder="1" applyAlignment="1">
      <alignment horizontal="center"/>
    </xf>
    <xf numFmtId="0" fontId="2" fillId="7" borderId="54" xfId="0" applyFont="1" applyFill="1" applyBorder="1"/>
    <xf numFmtId="2" fontId="0" fillId="16" borderId="62" xfId="0" applyNumberFormat="1" applyFill="1" applyBorder="1" applyAlignment="1">
      <alignment horizontal="center"/>
    </xf>
    <xf numFmtId="0" fontId="0" fillId="7" borderId="0" xfId="0" applyFill="1" applyAlignment="1">
      <alignment wrapText="1"/>
    </xf>
    <xf numFmtId="164" fontId="0" fillId="7" borderId="29" xfId="2" applyNumberFormat="1" applyFont="1" applyFill="1" applyBorder="1" applyAlignment="1">
      <alignment horizontal="center" vertical="center"/>
    </xf>
    <xf numFmtId="166" fontId="0" fillId="13" borderId="36" xfId="0" applyNumberFormat="1" applyFill="1" applyBorder="1" applyAlignment="1">
      <alignment horizontal="center"/>
    </xf>
    <xf numFmtId="166" fontId="0" fillId="13" borderId="93" xfId="0" applyNumberFormat="1" applyFill="1" applyBorder="1" applyAlignment="1">
      <alignment horizontal="center"/>
    </xf>
    <xf numFmtId="166" fontId="0" fillId="13" borderId="74" xfId="0" applyNumberFormat="1" applyFill="1" applyBorder="1" applyAlignment="1">
      <alignment horizontal="center"/>
    </xf>
    <xf numFmtId="166" fontId="2" fillId="13" borderId="63" xfId="2" applyNumberFormat="1" applyFont="1" applyFill="1" applyBorder="1" applyAlignment="1">
      <alignment horizontal="center" vertical="center"/>
    </xf>
    <xf numFmtId="164" fontId="0" fillId="7" borderId="43" xfId="0" applyNumberFormat="1" applyFill="1" applyBorder="1"/>
    <xf numFmtId="0" fontId="0" fillId="7" borderId="40" xfId="0" applyFill="1" applyBorder="1"/>
    <xf numFmtId="164" fontId="0" fillId="7" borderId="0" xfId="0" applyNumberFormat="1" applyFill="1"/>
    <xf numFmtId="164" fontId="0" fillId="7" borderId="0" xfId="2" applyNumberFormat="1" applyFont="1" applyFill="1" applyBorder="1" applyAlignment="1">
      <alignment horizontal="center" vertical="center"/>
    </xf>
    <xf numFmtId="0" fontId="0" fillId="0" borderId="21" xfId="0" applyBorder="1"/>
    <xf numFmtId="0" fontId="0" fillId="0" borderId="25" xfId="0" applyBorder="1" applyAlignment="1">
      <alignment horizontal="center" vertical="center" wrapText="1"/>
    </xf>
    <xf numFmtId="0" fontId="0" fillId="19" borderId="44" xfId="0" applyFill="1" applyBorder="1" applyAlignment="1">
      <alignment horizontal="left" vertical="center" wrapText="1"/>
    </xf>
    <xf numFmtId="0" fontId="0" fillId="19" borderId="51" xfId="0" applyFill="1" applyBorder="1" applyAlignment="1">
      <alignment horizontal="left" vertical="top" wrapText="1"/>
    </xf>
    <xf numFmtId="0" fontId="0" fillId="0" borderId="39" xfId="0" applyBorder="1" applyAlignment="1">
      <alignment wrapText="1"/>
    </xf>
    <xf numFmtId="0" fontId="0" fillId="0" borderId="0" xfId="0" applyAlignment="1">
      <alignment horizontal="left" vertical="center"/>
    </xf>
    <xf numFmtId="0" fontId="0" fillId="0" borderId="0" xfId="0" quotePrefix="1" applyAlignment="1">
      <alignment horizontal="left" vertical="center"/>
    </xf>
    <xf numFmtId="0" fontId="0" fillId="0" borderId="22" xfId="0" applyBorder="1" applyAlignment="1">
      <alignment horizontal="left"/>
    </xf>
    <xf numFmtId="0" fontId="33" fillId="7" borderId="25" xfId="3" quotePrefix="1" applyFont="1" applyFill="1" applyBorder="1" applyAlignment="1" applyProtection="1">
      <alignment wrapText="1"/>
    </xf>
    <xf numFmtId="0" fontId="35" fillId="7" borderId="25" xfId="0" applyFont="1" applyFill="1" applyBorder="1" applyAlignment="1">
      <alignment horizontal="center"/>
    </xf>
    <xf numFmtId="0" fontId="34" fillId="7" borderId="25" xfId="0" applyFont="1" applyFill="1" applyBorder="1" applyAlignment="1">
      <alignment wrapText="1"/>
    </xf>
    <xf numFmtId="0" fontId="6" fillId="7" borderId="25" xfId="3" quotePrefix="1" applyFill="1" applyBorder="1" applyAlignment="1" applyProtection="1">
      <alignment wrapText="1"/>
    </xf>
    <xf numFmtId="0" fontId="33" fillId="7" borderId="90" xfId="3" quotePrefix="1" applyFont="1" applyFill="1" applyBorder="1" applyAlignment="1" applyProtection="1">
      <alignment wrapText="1"/>
    </xf>
    <xf numFmtId="0" fontId="6" fillId="7" borderId="90" xfId="3" applyFill="1" applyBorder="1" applyAlignment="1" applyProtection="1">
      <alignment wrapText="1"/>
    </xf>
    <xf numFmtId="0" fontId="6" fillId="7" borderId="49" xfId="3" quotePrefix="1" applyFill="1" applyBorder="1" applyAlignment="1" applyProtection="1">
      <alignment wrapText="1"/>
    </xf>
    <xf numFmtId="0" fontId="6" fillId="7" borderId="45" xfId="3" quotePrefix="1" applyFill="1" applyBorder="1" applyAlignment="1" applyProtection="1">
      <alignment wrapText="1"/>
    </xf>
    <xf numFmtId="0" fontId="0" fillId="0" borderId="0" xfId="0" applyAlignment="1">
      <alignment horizontal="center"/>
    </xf>
    <xf numFmtId="0" fontId="0" fillId="0" borderId="22" xfId="0" applyBorder="1" applyAlignment="1">
      <alignment horizontal="left" vertical="center"/>
    </xf>
    <xf numFmtId="0" fontId="36" fillId="7" borderId="0" xfId="0" applyFont="1" applyFill="1" applyAlignment="1">
      <alignment horizontal="left"/>
    </xf>
    <xf numFmtId="0" fontId="0" fillId="0" borderId="0" xfId="0" applyAlignment="1">
      <alignment horizontal="left" vertical="center" indent="1"/>
    </xf>
    <xf numFmtId="0" fontId="0" fillId="7" borderId="0" xfId="0" applyFill="1" applyAlignment="1">
      <alignment horizontal="left" vertical="center" indent="1"/>
    </xf>
    <xf numFmtId="0" fontId="2" fillId="7" borderId="0" xfId="0" applyFont="1" applyFill="1" applyAlignment="1">
      <alignment vertical="center"/>
    </xf>
    <xf numFmtId="0" fontId="27" fillId="7" borderId="0" xfId="0" applyFont="1" applyFill="1"/>
    <xf numFmtId="0" fontId="37" fillId="7" borderId="0" xfId="3" applyFont="1" applyFill="1" applyProtection="1"/>
    <xf numFmtId="0" fontId="6" fillId="0" borderId="1" xfId="3" applyFill="1" applyBorder="1" applyAlignment="1" applyProtection="1">
      <alignment horizontal="center" vertical="center" wrapText="1"/>
    </xf>
    <xf numFmtId="0" fontId="6" fillId="0" borderId="48" xfId="3" applyFill="1" applyBorder="1" applyAlignment="1" applyProtection="1">
      <alignment horizontal="center" vertical="center" wrapText="1"/>
    </xf>
    <xf numFmtId="0" fontId="6" fillId="0" borderId="1" xfId="3" applyFill="1" applyBorder="1" applyAlignment="1">
      <alignment horizontal="center" vertical="center" wrapText="1"/>
    </xf>
    <xf numFmtId="0" fontId="6" fillId="0" borderId="2" xfId="3" applyFill="1" applyBorder="1" applyAlignment="1" applyProtection="1">
      <alignment horizontal="center" vertical="center" wrapText="1"/>
    </xf>
    <xf numFmtId="49" fontId="6" fillId="0" borderId="2" xfId="3" applyNumberFormat="1" applyFill="1" applyBorder="1" applyAlignment="1" applyProtection="1">
      <alignment horizontal="center" vertical="center" wrapText="1"/>
    </xf>
    <xf numFmtId="0" fontId="6" fillId="0" borderId="2" xfId="3" applyFill="1" applyBorder="1" applyAlignment="1">
      <alignment horizontal="center" vertical="center" wrapText="1"/>
    </xf>
    <xf numFmtId="0" fontId="6" fillId="0" borderId="1" xfId="3" applyFill="1" applyBorder="1" applyAlignment="1" applyProtection="1">
      <alignment horizontal="center" vertical="center"/>
    </xf>
    <xf numFmtId="0" fontId="6" fillId="0" borderId="11" xfId="3" applyFill="1" applyBorder="1" applyAlignment="1" applyProtection="1">
      <alignment horizontal="center" vertical="center"/>
    </xf>
    <xf numFmtId="0" fontId="6" fillId="0" borderId="51" xfId="3" applyFill="1" applyBorder="1" applyAlignment="1" applyProtection="1">
      <alignment horizontal="center" vertical="center" wrapText="1"/>
    </xf>
    <xf numFmtId="0" fontId="6" fillId="0" borderId="11" xfId="3" applyFill="1" applyBorder="1" applyAlignment="1" applyProtection="1">
      <alignment horizontal="center" vertical="center" wrapText="1"/>
    </xf>
    <xf numFmtId="0" fontId="6" fillId="0" borderId="53" xfId="3" applyFill="1" applyBorder="1" applyAlignment="1" applyProtection="1">
      <alignment horizontal="center" vertical="center" wrapText="1"/>
    </xf>
    <xf numFmtId="0" fontId="6" fillId="0" borderId="5" xfId="3" applyFill="1" applyBorder="1" applyAlignment="1" applyProtection="1">
      <alignment horizontal="center" vertical="center" wrapText="1"/>
    </xf>
    <xf numFmtId="0" fontId="6" fillId="0" borderId="47" xfId="3" applyFill="1" applyBorder="1" applyAlignment="1" applyProtection="1">
      <alignment horizontal="center" vertical="center" wrapText="1"/>
    </xf>
    <xf numFmtId="0" fontId="6" fillId="0" borderId="46" xfId="3" applyFill="1" applyBorder="1" applyAlignment="1">
      <alignment horizontal="center" vertical="center" wrapText="1"/>
    </xf>
    <xf numFmtId="0" fontId="0" fillId="0" borderId="0" xfId="0" applyAlignment="1">
      <alignment vertical="center" wrapText="1"/>
    </xf>
    <xf numFmtId="0" fontId="0" fillId="0" borderId="0" xfId="0" applyAlignment="1">
      <alignment horizontal="left" wrapText="1"/>
    </xf>
    <xf numFmtId="0" fontId="0" fillId="0" borderId="22" xfId="0" quotePrefix="1" applyBorder="1" applyAlignment="1">
      <alignment horizontal="left" vertical="center"/>
    </xf>
    <xf numFmtId="0" fontId="0" fillId="0" borderId="22" xfId="0" applyBorder="1" applyAlignment="1">
      <alignment wrapText="1"/>
    </xf>
    <xf numFmtId="0" fontId="0" fillId="0" borderId="34" xfId="0" quotePrefix="1" applyBorder="1" applyAlignment="1">
      <alignment horizontal="left" vertical="center"/>
    </xf>
    <xf numFmtId="0" fontId="0" fillId="0" borderId="34" xfId="0" applyBorder="1" applyAlignment="1">
      <alignment horizontal="left"/>
    </xf>
    <xf numFmtId="0" fontId="0" fillId="0" borderId="0" xfId="0" applyAlignment="1">
      <alignment horizontal="left" indent="2"/>
    </xf>
    <xf numFmtId="0" fontId="0" fillId="0" borderId="0" xfId="0" applyAlignment="1">
      <alignment horizontal="left" indent="1"/>
    </xf>
    <xf numFmtId="0" fontId="6" fillId="0" borderId="0" xfId="3" applyAlignment="1">
      <alignment horizontal="center" vertical="center"/>
    </xf>
    <xf numFmtId="0" fontId="9" fillId="0" borderId="5" xfId="0" applyFont="1" applyBorder="1"/>
    <xf numFmtId="0" fontId="6" fillId="0" borderId="0" xfId="3" applyProtection="1">
      <protection locked="0"/>
    </xf>
    <xf numFmtId="14" fontId="16" fillId="0" borderId="0" xfId="0" applyNumberFormat="1" applyFont="1" applyAlignment="1">
      <alignment horizontal="center" wrapText="1"/>
    </xf>
    <xf numFmtId="0" fontId="19" fillId="11" borderId="2" xfId="0" applyFont="1" applyFill="1" applyBorder="1" applyAlignment="1">
      <alignment horizontal="left" vertical="center" wrapText="1"/>
    </xf>
    <xf numFmtId="0" fontId="19" fillId="11" borderId="3" xfId="0" applyFont="1" applyFill="1" applyBorder="1" applyAlignment="1">
      <alignment horizontal="left" vertical="center" wrapText="1"/>
    </xf>
    <xf numFmtId="0" fontId="19" fillId="11" borderId="4" xfId="0" applyFont="1" applyFill="1" applyBorder="1" applyAlignment="1">
      <alignment horizontal="left" vertical="center" wrapText="1"/>
    </xf>
    <xf numFmtId="0" fontId="18" fillId="11" borderId="55" xfId="0" applyFont="1" applyFill="1" applyBorder="1" applyAlignment="1">
      <alignment horizontal="left" vertical="center" wrapText="1"/>
    </xf>
    <xf numFmtId="0" fontId="18" fillId="11" borderId="0" xfId="0" applyFont="1" applyFill="1" applyAlignment="1">
      <alignment horizontal="left" vertical="center" wrapText="1"/>
    </xf>
    <xf numFmtId="0" fontId="18" fillId="11" borderId="54" xfId="0" applyFont="1" applyFill="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8" fillId="0" borderId="2" xfId="0" applyFont="1" applyBorder="1" applyAlignment="1">
      <alignment horizontal="left" vertical="center"/>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18" fillId="11" borderId="43" xfId="0" applyFont="1" applyFill="1" applyBorder="1" applyAlignment="1">
      <alignment horizontal="left" vertical="top" wrapText="1"/>
    </xf>
    <xf numFmtId="0" fontId="18" fillId="11" borderId="41" xfId="0" applyFont="1" applyFill="1" applyBorder="1" applyAlignment="1">
      <alignment horizontal="left" vertical="top" wrapText="1"/>
    </xf>
    <xf numFmtId="0" fontId="18" fillId="11" borderId="40" xfId="0" applyFont="1" applyFill="1" applyBorder="1" applyAlignment="1">
      <alignment horizontal="left" vertical="top" wrapText="1"/>
    </xf>
    <xf numFmtId="0" fontId="19" fillId="11" borderId="55" xfId="0" applyFont="1" applyFill="1" applyBorder="1" applyAlignment="1">
      <alignment horizontal="left" wrapText="1"/>
    </xf>
    <xf numFmtId="0" fontId="19" fillId="11" borderId="0" xfId="0" applyFont="1" applyFill="1" applyAlignment="1">
      <alignment horizontal="left" wrapText="1"/>
    </xf>
    <xf numFmtId="0" fontId="19" fillId="11" borderId="54" xfId="0" applyFont="1" applyFill="1" applyBorder="1" applyAlignment="1">
      <alignment horizontal="left" wrapText="1"/>
    </xf>
    <xf numFmtId="0" fontId="19" fillId="11" borderId="43" xfId="0" applyFont="1" applyFill="1" applyBorder="1" applyAlignment="1">
      <alignment horizontal="left" wrapText="1"/>
    </xf>
    <xf numFmtId="0" fontId="19" fillId="11" borderId="41" xfId="0" applyFont="1" applyFill="1" applyBorder="1" applyAlignment="1">
      <alignment horizontal="left" wrapText="1"/>
    </xf>
    <xf numFmtId="0" fontId="19" fillId="11" borderId="40" xfId="0" applyFont="1" applyFill="1" applyBorder="1" applyAlignment="1">
      <alignment horizontal="left" wrapText="1"/>
    </xf>
    <xf numFmtId="0" fontId="0" fillId="0" borderId="46" xfId="0" applyBorder="1" applyAlignment="1">
      <alignment horizontal="center"/>
    </xf>
    <xf numFmtId="0" fontId="0" fillId="0" borderId="5" xfId="0" applyBorder="1" applyAlignment="1">
      <alignment horizontal="center"/>
    </xf>
    <xf numFmtId="0" fontId="0" fillId="0" borderId="53" xfId="0" applyBorder="1" applyAlignment="1">
      <alignment horizontal="center"/>
    </xf>
    <xf numFmtId="0" fontId="18" fillId="11" borderId="55" xfId="0" applyFont="1" applyFill="1" applyBorder="1" applyAlignment="1">
      <alignment horizontal="left" vertical="top" wrapText="1"/>
    </xf>
    <xf numFmtId="0" fontId="18" fillId="11" borderId="0" xfId="0" applyFont="1" applyFill="1" applyAlignment="1">
      <alignment horizontal="left" vertical="top" wrapText="1"/>
    </xf>
    <xf numFmtId="0" fontId="18" fillId="11" borderId="54" xfId="0" applyFont="1" applyFill="1" applyBorder="1" applyAlignment="1">
      <alignment horizontal="left" vertical="top" wrapText="1"/>
    </xf>
    <xf numFmtId="0" fontId="0" fillId="0" borderId="0" xfId="0" applyAlignment="1">
      <alignment horizontal="left" vertical="center"/>
    </xf>
    <xf numFmtId="0" fontId="6" fillId="0" borderId="10" xfId="3" applyFill="1" applyBorder="1" applyAlignment="1" applyProtection="1">
      <alignment horizontal="center" vertical="center"/>
    </xf>
    <xf numFmtId="0" fontId="6" fillId="0" borderId="3" xfId="3" applyFill="1" applyBorder="1" applyAlignment="1" applyProtection="1">
      <alignment horizontal="center" vertical="center"/>
    </xf>
    <xf numFmtId="0" fontId="6" fillId="0" borderId="21" xfId="3" applyFill="1" applyBorder="1" applyAlignment="1" applyProtection="1">
      <alignment horizontal="center" vertical="center"/>
    </xf>
    <xf numFmtId="0" fontId="0" fillId="0" borderId="1" xfId="0" applyBorder="1" applyAlignment="1">
      <alignment horizontal="center" vertical="center" wrapText="1"/>
    </xf>
    <xf numFmtId="0" fontId="0" fillId="0" borderId="48" xfId="0" applyBorder="1" applyAlignment="1">
      <alignment horizontal="center" vertical="center" wrapText="1"/>
    </xf>
    <xf numFmtId="0" fontId="0" fillId="0" borderId="6" xfId="0" applyBorder="1" applyAlignment="1">
      <alignment horizontal="center" vertical="center" wrapText="1"/>
    </xf>
    <xf numFmtId="0" fontId="0" fillId="0" borderId="51" xfId="0" applyBorder="1" applyAlignment="1">
      <alignment horizontal="center" vertical="center" wrapText="1"/>
    </xf>
    <xf numFmtId="0" fontId="0" fillId="0" borderId="44" xfId="0" applyBorder="1" applyAlignment="1">
      <alignment horizontal="center" vertical="center" wrapText="1"/>
    </xf>
    <xf numFmtId="0" fontId="0" fillId="0" borderId="39" xfId="0" applyBorder="1" applyAlignment="1">
      <alignment horizontal="center" vertical="center"/>
    </xf>
    <xf numFmtId="0" fontId="0" fillId="0" borderId="90" xfId="0" applyBorder="1" applyAlignment="1">
      <alignment horizontal="center" vertical="center"/>
    </xf>
    <xf numFmtId="0" fontId="0" fillId="0" borderId="30" xfId="0" applyBorder="1" applyAlignment="1">
      <alignment horizontal="center" vertical="center"/>
    </xf>
    <xf numFmtId="0" fontId="0" fillId="0" borderId="48" xfId="0" applyBorder="1" applyAlignment="1">
      <alignment horizontal="center" vertical="center"/>
    </xf>
    <xf numFmtId="0" fontId="0" fillId="0" borderId="50" xfId="0" applyBorder="1" applyAlignment="1">
      <alignment horizontal="center" vertical="center"/>
    </xf>
    <xf numFmtId="0" fontId="0" fillId="0" borderId="6" xfId="0" applyBorder="1" applyAlignment="1">
      <alignment horizontal="center" vertical="center"/>
    </xf>
    <xf numFmtId="0" fontId="0" fillId="0" borderId="50" xfId="0" applyBorder="1" applyAlignment="1">
      <alignment horizontal="center" vertical="center" wrapText="1"/>
    </xf>
    <xf numFmtId="0" fontId="2" fillId="0" borderId="0" xfId="0" applyFont="1" applyAlignment="1">
      <alignment horizontal="center" vertical="center" wrapText="1"/>
    </xf>
    <xf numFmtId="1" fontId="0" fillId="0" borderId="1" xfId="2" applyNumberFormat="1" applyFont="1" applyFill="1" applyAlignment="1" applyProtection="1">
      <alignment horizontal="center"/>
      <protection locked="0"/>
    </xf>
    <xf numFmtId="1" fontId="0" fillId="0" borderId="11" xfId="2" applyNumberFormat="1" applyFont="1" applyFill="1" applyBorder="1" applyAlignment="1" applyProtection="1">
      <alignment horizontal="center"/>
      <protection locked="0"/>
    </xf>
    <xf numFmtId="0" fontId="0" fillId="0" borderId="12"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6" borderId="19" xfId="0" applyFill="1" applyBorder="1" applyAlignment="1">
      <alignment horizontal="left" vertical="center"/>
    </xf>
    <xf numFmtId="0" fontId="0" fillId="6" borderId="20" xfId="0" applyFill="1" applyBorder="1" applyAlignment="1">
      <alignment horizontal="left" vertical="center"/>
    </xf>
    <xf numFmtId="0" fontId="6" fillId="0" borderId="5" xfId="3" applyFill="1" applyBorder="1" applyAlignment="1" applyProtection="1">
      <alignment horizontal="center" vertical="center"/>
    </xf>
    <xf numFmtId="0" fontId="6" fillId="0" borderId="47" xfId="3" applyFill="1" applyBorder="1" applyAlignment="1" applyProtection="1">
      <alignment horizontal="center" vertical="center"/>
    </xf>
    <xf numFmtId="0" fontId="2" fillId="14" borderId="28" xfId="0" applyFont="1" applyFill="1" applyBorder="1" applyAlignment="1">
      <alignment horizontal="center" vertical="center" wrapText="1"/>
    </xf>
    <xf numFmtId="0" fontId="2" fillId="14" borderId="29" xfId="0" applyFont="1" applyFill="1" applyBorder="1" applyAlignment="1">
      <alignment horizontal="center" vertical="center" wrapText="1"/>
    </xf>
    <xf numFmtId="0" fontId="2" fillId="14" borderId="31" xfId="0" applyFont="1" applyFill="1" applyBorder="1" applyAlignment="1">
      <alignment horizontal="center" vertical="center" wrapText="1"/>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6" borderId="20" xfId="0" applyFill="1" applyBorder="1" applyAlignment="1" applyProtection="1">
      <alignment horizontal="left" vertical="top" wrapText="1"/>
      <protection locked="0"/>
    </xf>
    <xf numFmtId="0" fontId="0" fillId="6" borderId="14" xfId="0" applyFill="1" applyBorder="1" applyAlignment="1" applyProtection="1">
      <alignment horizontal="left" vertical="top" wrapText="1"/>
      <protection locked="0"/>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10" xfId="0" applyBorder="1" applyAlignment="1">
      <alignment horizontal="left" vertical="top" wrapText="1"/>
    </xf>
    <xf numFmtId="0" fontId="0" fillId="0" borderId="4" xfId="0" applyBorder="1" applyAlignment="1">
      <alignment horizontal="left" vertical="top" wrapText="1"/>
    </xf>
    <xf numFmtId="0" fontId="0" fillId="0" borderId="18" xfId="0" applyBorder="1" applyAlignment="1">
      <alignment horizontal="left" vertical="top" wrapText="1"/>
    </xf>
    <xf numFmtId="0" fontId="0" fillId="0" borderId="1" xfId="0" applyBorder="1" applyAlignment="1">
      <alignment horizontal="left" vertical="top" wrapText="1"/>
    </xf>
    <xf numFmtId="0" fontId="0" fillId="6" borderId="37" xfId="0" applyFill="1" applyBorder="1" applyAlignment="1" applyProtection="1">
      <alignment horizontal="left" vertical="top" wrapText="1"/>
      <protection locked="0"/>
    </xf>
    <xf numFmtId="0" fontId="0" fillId="6" borderId="27" xfId="0" applyFill="1" applyBorder="1" applyAlignment="1" applyProtection="1">
      <alignment horizontal="left" vertical="top" wrapText="1"/>
      <protection locked="0"/>
    </xf>
    <xf numFmtId="0" fontId="0" fillId="6" borderId="36" xfId="0" applyFill="1" applyBorder="1" applyAlignment="1" applyProtection="1">
      <alignment horizontal="left" vertical="top" wrapText="1"/>
      <protection locked="0"/>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6" fillId="0" borderId="48" xfId="3" applyFill="1" applyBorder="1" applyAlignment="1" applyProtection="1">
      <alignment horizontal="center" vertical="top" wrapText="1"/>
    </xf>
    <xf numFmtId="0" fontId="6" fillId="0" borderId="50" xfId="3" applyFill="1" applyBorder="1" applyAlignment="1" applyProtection="1">
      <alignment horizontal="center" vertical="top" wrapText="1"/>
    </xf>
    <xf numFmtId="49" fontId="6" fillId="0" borderId="46" xfId="3" applyNumberFormat="1" applyFill="1" applyBorder="1" applyAlignment="1" applyProtection="1">
      <alignment horizontal="center" vertical="top" wrapText="1"/>
    </xf>
    <xf numFmtId="49" fontId="6" fillId="0" borderId="55" xfId="3" applyNumberFormat="1" applyFill="1" applyBorder="1" applyAlignment="1" applyProtection="1">
      <alignment horizontal="center" vertical="top" wrapText="1"/>
    </xf>
    <xf numFmtId="0" fontId="0" fillId="0" borderId="18" xfId="0" applyBorder="1" applyAlignment="1">
      <alignment vertical="center"/>
    </xf>
    <xf numFmtId="0" fontId="0" fillId="0" borderId="1"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10" xfId="0" applyBorder="1" applyAlignment="1">
      <alignment horizontal="left" vertical="center" wrapText="1"/>
    </xf>
    <xf numFmtId="0" fontId="0" fillId="0" borderId="4" xfId="0" applyBorder="1" applyAlignment="1">
      <alignment horizontal="left" vertical="center" wrapText="1"/>
    </xf>
    <xf numFmtId="0" fontId="6" fillId="0" borderId="48" xfId="3" applyFill="1" applyBorder="1" applyAlignment="1" applyProtection="1">
      <alignment horizontal="center" vertical="center" wrapText="1"/>
    </xf>
    <xf numFmtId="0" fontId="6" fillId="0" borderId="6" xfId="3" applyFill="1" applyBorder="1" applyAlignment="1" applyProtection="1">
      <alignment horizontal="center" vertical="center" wrapText="1"/>
    </xf>
    <xf numFmtId="0" fontId="6" fillId="0" borderId="2" xfId="3" applyFill="1" applyBorder="1" applyAlignment="1" applyProtection="1">
      <alignment horizontal="center" vertical="center" wrapText="1"/>
    </xf>
    <xf numFmtId="0" fontId="0" fillId="6" borderId="18" xfId="0" applyFill="1" applyBorder="1" applyAlignment="1">
      <alignment vertical="center"/>
    </xf>
    <xf numFmtId="0" fontId="0" fillId="6" borderId="1" xfId="0" applyFill="1" applyBorder="1" applyAlignment="1">
      <alignment vertical="center"/>
    </xf>
    <xf numFmtId="14" fontId="1" fillId="13" borderId="20" xfId="2" applyNumberFormat="1" applyFill="1" applyBorder="1" applyAlignment="1">
      <alignment horizontal="center" vertical="center"/>
    </xf>
    <xf numFmtId="14" fontId="1" fillId="13" borderId="14" xfId="2" applyNumberFormat="1" applyFill="1" applyBorder="1" applyAlignment="1">
      <alignment horizontal="center" vertical="center"/>
    </xf>
    <xf numFmtId="1" fontId="0" fillId="0" borderId="6" xfId="2" applyNumberFormat="1" applyFont="1" applyFill="1" applyBorder="1" applyAlignment="1" applyProtection="1">
      <alignment horizontal="center"/>
      <protection locked="0"/>
    </xf>
    <xf numFmtId="1" fontId="0" fillId="0" borderId="44" xfId="2" applyNumberFormat="1" applyFont="1" applyFill="1" applyBorder="1" applyAlignment="1" applyProtection="1">
      <alignment horizontal="center"/>
      <protection locked="0"/>
    </xf>
    <xf numFmtId="0" fontId="1" fillId="0" borderId="1" xfId="2" applyNumberFormat="1" applyFill="1" applyAlignment="1" applyProtection="1">
      <alignment horizontal="center"/>
      <protection locked="0"/>
    </xf>
    <xf numFmtId="0" fontId="1" fillId="0" borderId="11" xfId="2" applyNumberFormat="1" applyFill="1" applyBorder="1" applyAlignment="1" applyProtection="1">
      <alignment horizontal="center"/>
      <protection locked="0"/>
    </xf>
    <xf numFmtId="1" fontId="1" fillId="0" borderId="1" xfId="2" applyNumberFormat="1" applyFill="1" applyAlignment="1" applyProtection="1">
      <alignment horizontal="center"/>
      <protection locked="0"/>
    </xf>
    <xf numFmtId="1" fontId="1" fillId="0" borderId="11" xfId="2" applyNumberFormat="1" applyFill="1" applyBorder="1" applyAlignment="1" applyProtection="1">
      <alignment horizontal="center"/>
      <protection locked="0"/>
    </xf>
    <xf numFmtId="0" fontId="2" fillId="3" borderId="15" xfId="0" applyFont="1" applyFill="1" applyBorder="1" applyAlignment="1">
      <alignment horizontal="center"/>
    </xf>
    <xf numFmtId="0" fontId="2" fillId="3" borderId="16" xfId="0" applyFont="1" applyFill="1" applyBorder="1" applyAlignment="1">
      <alignment horizontal="center"/>
    </xf>
    <xf numFmtId="0" fontId="2" fillId="3" borderId="17" xfId="0" applyFont="1" applyFill="1" applyBorder="1" applyAlignment="1">
      <alignment horizontal="center"/>
    </xf>
    <xf numFmtId="0" fontId="0" fillId="0" borderId="18" xfId="0" applyBorder="1" applyAlignment="1">
      <alignment vertical="center" wrapText="1"/>
    </xf>
    <xf numFmtId="0" fontId="0" fillId="0" borderId="1" xfId="0" applyBorder="1" applyAlignment="1">
      <alignment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15" borderId="7" xfId="0" applyFont="1" applyFill="1" applyBorder="1" applyAlignment="1">
      <alignment horizontal="center"/>
    </xf>
    <xf numFmtId="0" fontId="2" fillId="15" borderId="8" xfId="0" applyFont="1" applyFill="1" applyBorder="1" applyAlignment="1">
      <alignment horizontal="center"/>
    </xf>
    <xf numFmtId="0" fontId="2" fillId="15" borderId="9" xfId="0" applyFont="1" applyFill="1" applyBorder="1" applyAlignment="1">
      <alignment horizontal="center"/>
    </xf>
    <xf numFmtId="0" fontId="0" fillId="0" borderId="32" xfId="0" applyBorder="1" applyAlignment="1">
      <alignment horizontal="left" vertical="top" wrapText="1"/>
    </xf>
    <xf numFmtId="0" fontId="0" fillId="0" borderId="57" xfId="0" applyBorder="1" applyAlignment="1">
      <alignment horizontal="left" vertical="top" wrapText="1"/>
    </xf>
    <xf numFmtId="0" fontId="2" fillId="21" borderId="15" xfId="0" applyFont="1" applyFill="1" applyBorder="1" applyAlignment="1">
      <alignment horizontal="center"/>
    </xf>
    <xf numFmtId="0" fontId="2" fillId="21" borderId="16" xfId="0" applyFont="1" applyFill="1" applyBorder="1" applyAlignment="1">
      <alignment horizontal="center"/>
    </xf>
    <xf numFmtId="0" fontId="2" fillId="21" borderId="17" xfId="0" applyFont="1" applyFill="1" applyBorder="1" applyAlignment="1">
      <alignment horizontal="center"/>
    </xf>
    <xf numFmtId="0" fontId="0" fillId="0" borderId="18" xfId="0" applyBorder="1" applyAlignment="1">
      <alignment horizontal="left" vertical="center" wrapText="1"/>
    </xf>
    <xf numFmtId="0" fontId="0" fillId="0" borderId="1" xfId="0" applyBorder="1" applyAlignment="1">
      <alignment horizontal="left" vertical="center" wrapText="1"/>
    </xf>
    <xf numFmtId="0" fontId="6" fillId="0" borderId="25" xfId="3" applyFill="1" applyBorder="1" applyAlignment="1" applyProtection="1">
      <alignment horizontal="center" vertical="center"/>
    </xf>
    <xf numFmtId="0" fontId="6" fillId="0" borderId="0" xfId="3" applyFill="1" applyBorder="1" applyAlignment="1" applyProtection="1">
      <alignment horizontal="center" vertical="center"/>
    </xf>
    <xf numFmtId="0" fontId="6" fillId="0" borderId="26" xfId="3" applyFill="1" applyBorder="1" applyAlignment="1" applyProtection="1">
      <alignment horizontal="center" vertical="center"/>
    </xf>
    <xf numFmtId="0" fontId="0" fillId="6" borderId="52" xfId="0" applyFill="1" applyBorder="1" applyAlignment="1">
      <alignment horizontal="left" vertical="center" wrapText="1"/>
    </xf>
    <xf numFmtId="0" fontId="0" fillId="6" borderId="53" xfId="0" applyFill="1" applyBorder="1" applyAlignment="1">
      <alignment horizontal="left" vertical="center" wrapText="1"/>
    </xf>
    <xf numFmtId="0" fontId="0" fillId="6" borderId="25" xfId="0" applyFill="1" applyBorder="1" applyAlignment="1">
      <alignment horizontal="left" vertical="center" wrapText="1"/>
    </xf>
    <xf numFmtId="0" fontId="0" fillId="6" borderId="54" xfId="0" applyFill="1" applyBorder="1" applyAlignment="1">
      <alignment horizontal="left" vertical="center" wrapText="1"/>
    </xf>
    <xf numFmtId="0" fontId="0" fillId="6" borderId="49" xfId="0" applyFill="1" applyBorder="1" applyAlignment="1">
      <alignment horizontal="left" vertical="center" wrapText="1"/>
    </xf>
    <xf numFmtId="0" fontId="0" fillId="6" borderId="40" xfId="0" applyFill="1" applyBorder="1" applyAlignment="1">
      <alignment horizontal="left" vertical="center" wrapText="1"/>
    </xf>
    <xf numFmtId="0" fontId="0" fillId="0" borderId="1" xfId="0" applyBorder="1" applyAlignment="1" applyProtection="1">
      <alignment horizontal="center"/>
      <protection locked="0"/>
    </xf>
    <xf numFmtId="0" fontId="0" fillId="0" borderId="11" xfId="0" applyBorder="1" applyAlignment="1" applyProtection="1">
      <alignment horizontal="center"/>
      <protection locked="0"/>
    </xf>
    <xf numFmtId="2" fontId="0" fillId="7" borderId="20" xfId="2" applyFont="1" applyFill="1" applyBorder="1" applyAlignment="1" applyProtection="1">
      <alignment horizontal="center"/>
      <protection locked="0"/>
    </xf>
    <xf numFmtId="2" fontId="0" fillId="7" borderId="14" xfId="2" applyFont="1" applyFill="1" applyBorder="1" applyAlignment="1" applyProtection="1">
      <alignment horizontal="center"/>
      <protection locked="0"/>
    </xf>
    <xf numFmtId="0" fontId="0" fillId="0" borderId="1" xfId="2" applyNumberFormat="1" applyFont="1" applyFill="1" applyAlignment="1" applyProtection="1">
      <alignment horizontal="center"/>
      <protection locked="0"/>
    </xf>
    <xf numFmtId="0" fontId="0" fillId="0" borderId="11" xfId="2" applyNumberFormat="1" applyFont="1" applyFill="1" applyBorder="1" applyAlignment="1" applyProtection="1">
      <alignment horizontal="center"/>
      <protection locked="0"/>
    </xf>
    <xf numFmtId="0" fontId="2" fillId="12" borderId="7" xfId="0" applyFont="1" applyFill="1" applyBorder="1" applyAlignment="1">
      <alignment horizontal="center" vertical="center"/>
    </xf>
    <xf numFmtId="0" fontId="2" fillId="12" borderId="9" xfId="0" applyFont="1" applyFill="1" applyBorder="1" applyAlignment="1">
      <alignment horizontal="center" vertic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 fillId="3" borderId="31" xfId="0" applyFont="1" applyFill="1" applyBorder="1" applyAlignment="1">
      <alignment horizontal="center"/>
    </xf>
    <xf numFmtId="0" fontId="6" fillId="0" borderId="25" xfId="3" applyFill="1" applyBorder="1" applyAlignment="1" applyProtection="1">
      <alignment horizontal="center" vertical="center" wrapText="1"/>
    </xf>
    <xf numFmtId="0" fontId="6" fillId="0" borderId="0" xfId="3" applyFill="1" applyBorder="1" applyAlignment="1" applyProtection="1">
      <alignment horizontal="center" vertical="center" wrapText="1"/>
    </xf>
    <xf numFmtId="0" fontId="6" fillId="0" borderId="26" xfId="3" applyFill="1" applyBorder="1" applyAlignment="1" applyProtection="1">
      <alignment horizontal="center" vertical="center" wrapText="1"/>
    </xf>
    <xf numFmtId="0" fontId="6" fillId="0" borderId="10" xfId="3" applyFill="1" applyBorder="1" applyAlignment="1" applyProtection="1">
      <alignment horizontal="center" vertical="center" wrapText="1"/>
    </xf>
    <xf numFmtId="0" fontId="6" fillId="0" borderId="3" xfId="3" applyFill="1" applyBorder="1" applyAlignment="1" applyProtection="1">
      <alignment horizontal="center" vertical="center" wrapText="1"/>
    </xf>
    <xf numFmtId="0" fontId="6" fillId="0" borderId="21" xfId="3" applyFill="1" applyBorder="1" applyAlignment="1" applyProtection="1">
      <alignment horizontal="center" vertical="center" wrapText="1"/>
    </xf>
    <xf numFmtId="0" fontId="6" fillId="0" borderId="18" xfId="3" applyBorder="1" applyAlignment="1">
      <alignment horizontal="center"/>
    </xf>
    <xf numFmtId="0" fontId="6" fillId="0" borderId="11" xfId="3" applyBorder="1" applyAlignment="1">
      <alignment horizontal="center"/>
    </xf>
    <xf numFmtId="0" fontId="4" fillId="19" borderId="39" xfId="0" applyFont="1" applyFill="1" applyBorder="1" applyAlignment="1">
      <alignment horizontal="left" vertical="center" wrapText="1"/>
    </xf>
    <xf numFmtId="0" fontId="4" fillId="19" borderId="90" xfId="0" applyFont="1" applyFill="1" applyBorder="1" applyAlignment="1">
      <alignment horizontal="left" vertical="center" wrapText="1"/>
    </xf>
    <xf numFmtId="0" fontId="4" fillId="19" borderId="10" xfId="0" applyFont="1" applyFill="1" applyBorder="1" applyAlignment="1">
      <alignment horizontal="left" vertical="center" wrapText="1"/>
    </xf>
    <xf numFmtId="0" fontId="4" fillId="19" borderId="4" xfId="0" applyFont="1" applyFill="1" applyBorder="1" applyAlignment="1">
      <alignment horizontal="left" vertical="center" wrapText="1"/>
    </xf>
    <xf numFmtId="0" fontId="0" fillId="19" borderId="2"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19" borderId="3"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19" borderId="2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49" fontId="6" fillId="0" borderId="10" xfId="3" applyNumberFormat="1" applyFill="1" applyBorder="1" applyAlignment="1" applyProtection="1">
      <alignment horizontal="center" vertical="center" wrapText="1"/>
    </xf>
    <xf numFmtId="49" fontId="6" fillId="0" borderId="3" xfId="3" applyNumberFormat="1" applyFill="1" applyBorder="1" applyAlignment="1" applyProtection="1">
      <alignment horizontal="center" vertical="center" wrapText="1"/>
    </xf>
    <xf numFmtId="49" fontId="6" fillId="0" borderId="21" xfId="3" applyNumberFormat="1" applyFill="1" applyBorder="1" applyAlignment="1" applyProtection="1">
      <alignment horizontal="center" vertical="center" wrapText="1"/>
    </xf>
    <xf numFmtId="0" fontId="4" fillId="19" borderId="18" xfId="0" applyFont="1" applyFill="1" applyBorder="1" applyAlignment="1">
      <alignment horizontal="left" vertical="center"/>
    </xf>
    <xf numFmtId="0" fontId="4" fillId="19" borderId="1" xfId="0" applyFont="1" applyFill="1" applyBorder="1" applyAlignment="1">
      <alignment horizontal="left" vertical="center"/>
    </xf>
    <xf numFmtId="0" fontId="0" fillId="19" borderId="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19" borderId="1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6" borderId="2" xfId="0" applyFill="1" applyBorder="1" applyAlignment="1" applyProtection="1">
      <alignment horizontal="left" vertical="center" wrapText="1"/>
      <protection locked="0"/>
    </xf>
    <xf numFmtId="0" fontId="0" fillId="6" borderId="3" xfId="0" applyFill="1" applyBorder="1" applyAlignment="1" applyProtection="1">
      <alignment horizontal="left" vertical="center" wrapText="1"/>
      <protection locked="0"/>
    </xf>
    <xf numFmtId="0" fontId="0" fillId="6" borderId="21" xfId="0" applyFill="1" applyBorder="1" applyAlignment="1" applyProtection="1">
      <alignment horizontal="left" vertical="center" wrapText="1"/>
      <protection locked="0"/>
    </xf>
    <xf numFmtId="0" fontId="0" fillId="6" borderId="37" xfId="0" applyFill="1" applyBorder="1" applyAlignment="1" applyProtection="1">
      <alignment horizontal="left" vertical="center" wrapText="1"/>
      <protection locked="0"/>
    </xf>
    <xf numFmtId="0" fontId="0" fillId="6" borderId="27" xfId="0" applyFill="1" applyBorder="1" applyAlignment="1" applyProtection="1">
      <alignment horizontal="left" vertical="center" wrapText="1"/>
      <protection locked="0"/>
    </xf>
    <xf numFmtId="0" fontId="0" fillId="6" borderId="36" xfId="0" applyFill="1" applyBorder="1" applyAlignment="1" applyProtection="1">
      <alignment horizontal="left" vertical="center" wrapText="1"/>
      <protection locked="0"/>
    </xf>
    <xf numFmtId="0" fontId="0" fillId="0" borderId="0" xfId="0" applyAlignment="1">
      <alignment horizontal="center" vertical="center" wrapText="1"/>
    </xf>
    <xf numFmtId="0" fontId="0" fillId="0" borderId="26" xfId="0" applyBorder="1" applyAlignment="1">
      <alignment horizontal="center" vertical="center" wrapText="1"/>
    </xf>
    <xf numFmtId="0" fontId="0" fillId="0" borderId="0" xfId="0" applyAlignment="1">
      <alignment horizontal="left" vertical="center" wrapText="1"/>
    </xf>
    <xf numFmtId="0" fontId="2" fillId="0" borderId="25" xfId="0" applyFont="1" applyBorder="1" applyAlignment="1">
      <alignment horizontal="center" vertical="center"/>
    </xf>
    <xf numFmtId="0" fontId="6" fillId="0" borderId="48" xfId="3" applyFill="1" applyBorder="1" applyAlignment="1" applyProtection="1">
      <alignment horizontal="center" vertical="center"/>
    </xf>
    <xf numFmtId="0" fontId="6" fillId="0" borderId="50" xfId="3" applyFill="1" applyBorder="1" applyAlignment="1" applyProtection="1">
      <alignment horizontal="center" vertical="center"/>
    </xf>
    <xf numFmtId="0" fontId="6" fillId="0" borderId="6" xfId="3" applyFill="1" applyBorder="1" applyAlignment="1" applyProtection="1">
      <alignment horizontal="center" vertical="center"/>
    </xf>
    <xf numFmtId="0" fontId="6" fillId="0" borderId="51" xfId="3" applyFill="1" applyBorder="1" applyAlignment="1" applyProtection="1">
      <alignment horizontal="center" vertical="center" wrapText="1"/>
    </xf>
    <xf numFmtId="0" fontId="6" fillId="0" borderId="85" xfId="3" applyFill="1" applyBorder="1" applyAlignment="1" applyProtection="1">
      <alignment horizontal="center" vertical="center" wrapText="1"/>
    </xf>
    <xf numFmtId="0" fontId="6" fillId="0" borderId="44" xfId="3" applyFill="1" applyBorder="1" applyAlignment="1" applyProtection="1">
      <alignment horizontal="center" vertical="center" wrapText="1"/>
    </xf>
    <xf numFmtId="0" fontId="0" fillId="0" borderId="39" xfId="0" applyBorder="1" applyAlignment="1">
      <alignment horizontal="left" vertical="center" wrapText="1"/>
    </xf>
    <xf numFmtId="0" fontId="0" fillId="0" borderId="90" xfId="0" applyBorder="1" applyAlignment="1">
      <alignment horizontal="left" vertical="center" wrapText="1"/>
    </xf>
    <xf numFmtId="0" fontId="0" fillId="0" borderId="32" xfId="0" applyBorder="1" applyAlignment="1">
      <alignment horizontal="left" vertical="center" wrapText="1"/>
    </xf>
    <xf numFmtId="0" fontId="4" fillId="19" borderId="2" xfId="0" applyFont="1" applyFill="1" applyBorder="1" applyAlignment="1">
      <alignment horizontal="center" vertical="top" wrapText="1"/>
    </xf>
    <xf numFmtId="0" fontId="4" fillId="19" borderId="3" xfId="0" applyFont="1" applyFill="1" applyBorder="1" applyAlignment="1">
      <alignment horizontal="center" vertical="top" wrapText="1"/>
    </xf>
    <xf numFmtId="0" fontId="4" fillId="19" borderId="4" xfId="0" applyFont="1" applyFill="1" applyBorder="1" applyAlignment="1">
      <alignment horizontal="center" vertical="top" wrapText="1"/>
    </xf>
    <xf numFmtId="0" fontId="0" fillId="19" borderId="2" xfId="0" applyFill="1" applyBorder="1" applyAlignment="1" applyProtection="1">
      <alignment horizontal="center" vertical="top" wrapText="1"/>
      <protection locked="0"/>
    </xf>
    <xf numFmtId="0" fontId="0" fillId="19" borderId="3" xfId="0" applyFill="1" applyBorder="1" applyAlignment="1" applyProtection="1">
      <alignment horizontal="center" vertical="top" wrapText="1"/>
      <protection locked="0"/>
    </xf>
    <xf numFmtId="0" fontId="0" fillId="19" borderId="21" xfId="0" applyFill="1" applyBorder="1" applyAlignment="1" applyProtection="1">
      <alignment horizontal="center" vertical="top" wrapText="1"/>
      <protection locked="0"/>
    </xf>
    <xf numFmtId="2" fontId="0" fillId="6" borderId="18" xfId="0" applyNumberFormat="1" applyFill="1" applyBorder="1" applyAlignment="1" applyProtection="1">
      <alignment horizontal="right"/>
      <protection locked="0"/>
    </xf>
    <xf numFmtId="2" fontId="0" fillId="6" borderId="1" xfId="0" applyNumberFormat="1" applyFill="1" applyBorder="1" applyAlignment="1" applyProtection="1">
      <alignment horizontal="right"/>
      <protection locked="0"/>
    </xf>
    <xf numFmtId="0" fontId="2" fillId="0" borderId="0" xfId="0" applyFont="1" applyAlignment="1">
      <alignment horizontal="center" vertical="center"/>
    </xf>
    <xf numFmtId="2" fontId="0" fillId="13" borderId="19" xfId="0" applyNumberFormat="1" applyFill="1" applyBorder="1" applyAlignment="1">
      <alignment horizontal="right"/>
    </xf>
    <xf numFmtId="2" fontId="0" fillId="13" borderId="20" xfId="0" applyNumberFormat="1" applyFill="1" applyBorder="1" applyAlignment="1">
      <alignment horizontal="right"/>
    </xf>
    <xf numFmtId="0" fontId="25" fillId="19" borderId="3" xfId="0" applyFont="1" applyFill="1" applyBorder="1" applyAlignment="1">
      <alignment horizontal="center" wrapText="1"/>
    </xf>
    <xf numFmtId="0" fontId="10" fillId="19" borderId="18" xfId="3" applyFont="1" applyFill="1" applyBorder="1" applyAlignment="1" applyProtection="1">
      <alignment horizontal="left" vertical="center" wrapText="1"/>
    </xf>
    <xf numFmtId="0" fontId="10" fillId="19" borderId="1" xfId="3" applyFont="1" applyFill="1" applyBorder="1" applyAlignment="1" applyProtection="1">
      <alignment horizontal="left" vertical="center" wrapText="1"/>
    </xf>
    <xf numFmtId="2" fontId="0" fillId="13" borderId="73" xfId="2" applyFont="1" applyFill="1" applyBorder="1" applyAlignment="1">
      <alignment horizontal="center"/>
    </xf>
    <xf numFmtId="2" fontId="0" fillId="13" borderId="16" xfId="2" applyFont="1" applyFill="1" applyBorder="1" applyAlignment="1">
      <alignment horizontal="center"/>
    </xf>
    <xf numFmtId="2" fontId="0" fillId="13" borderId="24" xfId="2" applyFont="1" applyFill="1" applyBorder="1" applyAlignment="1">
      <alignment horizontal="center"/>
    </xf>
    <xf numFmtId="2" fontId="0" fillId="13" borderId="2" xfId="2" applyFont="1" applyFill="1" applyBorder="1" applyAlignment="1">
      <alignment horizontal="center"/>
    </xf>
    <xf numFmtId="2" fontId="0" fillId="13" borderId="3" xfId="2" applyFont="1" applyFill="1" applyBorder="1" applyAlignment="1">
      <alignment horizontal="center"/>
    </xf>
    <xf numFmtId="2" fontId="0" fillId="13" borderId="4" xfId="2" applyFont="1" applyFill="1" applyBorder="1" applyAlignment="1">
      <alignment horizontal="center"/>
    </xf>
    <xf numFmtId="2" fontId="0" fillId="6" borderId="2" xfId="0" applyNumberFormat="1" applyFill="1" applyBorder="1" applyAlignment="1" applyProtection="1">
      <alignment horizontal="right"/>
      <protection locked="0"/>
    </xf>
    <xf numFmtId="2" fontId="0" fillId="6" borderId="3" xfId="0" applyNumberFormat="1" applyFill="1" applyBorder="1" applyAlignment="1" applyProtection="1">
      <alignment horizontal="right"/>
      <protection locked="0"/>
    </xf>
    <xf numFmtId="2" fontId="0" fillId="6" borderId="4" xfId="0" applyNumberFormat="1" applyFill="1" applyBorder="1" applyAlignment="1" applyProtection="1">
      <alignment horizontal="right"/>
      <protection locked="0"/>
    </xf>
    <xf numFmtId="2" fontId="0" fillId="6" borderId="37" xfId="0" applyNumberFormat="1" applyFill="1" applyBorder="1" applyAlignment="1" applyProtection="1">
      <alignment horizontal="right"/>
      <protection locked="0"/>
    </xf>
    <xf numFmtId="2" fontId="0" fillId="6" borderId="27" xfId="0" applyNumberFormat="1" applyFill="1" applyBorder="1" applyAlignment="1" applyProtection="1">
      <alignment horizontal="right"/>
      <protection locked="0"/>
    </xf>
    <xf numFmtId="2" fontId="0" fillId="6" borderId="13" xfId="0" applyNumberFormat="1" applyFill="1" applyBorder="1" applyAlignment="1" applyProtection="1">
      <alignment horizontal="right"/>
      <protection locked="0"/>
    </xf>
    <xf numFmtId="2" fontId="0" fillId="6" borderId="6" xfId="0" applyNumberFormat="1" applyFill="1" applyBorder="1" applyAlignment="1" applyProtection="1">
      <alignment horizontal="right"/>
      <protection locked="0"/>
    </xf>
    <xf numFmtId="0" fontId="0" fillId="6" borderId="1" xfId="0" applyFill="1" applyBorder="1" applyAlignment="1" applyProtection="1">
      <alignment horizontal="center"/>
      <protection locked="0"/>
    </xf>
    <xf numFmtId="0" fontId="0" fillId="6" borderId="48" xfId="0" applyFill="1" applyBorder="1" applyAlignment="1" applyProtection="1">
      <alignment horizontal="center"/>
      <protection locked="0"/>
    </xf>
    <xf numFmtId="2" fontId="0" fillId="6" borderId="21" xfId="0" applyNumberFormat="1" applyFill="1" applyBorder="1" applyAlignment="1" applyProtection="1">
      <alignment horizontal="right"/>
      <protection locked="0"/>
    </xf>
    <xf numFmtId="2" fontId="0" fillId="0" borderId="2" xfId="0" applyNumberFormat="1" applyBorder="1" applyAlignment="1" applyProtection="1">
      <alignment horizontal="right"/>
      <protection locked="0"/>
    </xf>
    <xf numFmtId="2" fontId="0" fillId="0" borderId="3" xfId="0" applyNumberFormat="1" applyBorder="1" applyAlignment="1" applyProtection="1">
      <alignment horizontal="right"/>
      <protection locked="0"/>
    </xf>
    <xf numFmtId="2" fontId="0" fillId="0" borderId="21" xfId="0" applyNumberFormat="1" applyBorder="1" applyAlignment="1" applyProtection="1">
      <alignment horizontal="right"/>
      <protection locked="0"/>
    </xf>
    <xf numFmtId="0" fontId="6" fillId="0" borderId="49" xfId="3" applyFill="1" applyBorder="1" applyAlignment="1" applyProtection="1">
      <alignment horizontal="center" vertical="center" wrapText="1"/>
    </xf>
    <xf numFmtId="0" fontId="6" fillId="0" borderId="41" xfId="3" applyFill="1" applyBorder="1" applyAlignment="1" applyProtection="1">
      <alignment horizontal="center" vertical="center" wrapText="1"/>
    </xf>
    <xf numFmtId="0" fontId="6" fillId="0" borderId="56" xfId="3" applyFill="1" applyBorder="1" applyAlignment="1" applyProtection="1">
      <alignment horizontal="center" vertical="center" wrapText="1"/>
    </xf>
    <xf numFmtId="170" fontId="1" fillId="13" borderId="1" xfId="2" applyNumberFormat="1" applyFill="1" applyAlignment="1">
      <alignment horizontal="right"/>
    </xf>
    <xf numFmtId="170" fontId="1" fillId="13" borderId="11" xfId="2" applyNumberFormat="1" applyFill="1" applyBorder="1" applyAlignment="1">
      <alignment horizontal="right"/>
    </xf>
    <xf numFmtId="0" fontId="6" fillId="0" borderId="52" xfId="3" applyFill="1" applyBorder="1" applyAlignment="1" applyProtection="1">
      <alignment horizontal="center" vertical="center"/>
    </xf>
    <xf numFmtId="0" fontId="6" fillId="0" borderId="62" xfId="3" applyFill="1" applyBorder="1" applyAlignment="1" applyProtection="1">
      <alignment horizontal="center" vertical="center"/>
    </xf>
    <xf numFmtId="0" fontId="2" fillId="3" borderId="59" xfId="0" applyFont="1" applyFill="1" applyBorder="1" applyAlignment="1">
      <alignment horizontal="center"/>
    </xf>
    <xf numFmtId="0" fontId="2" fillId="4" borderId="38" xfId="0" applyFont="1" applyFill="1" applyBorder="1" applyAlignment="1">
      <alignment horizontal="center"/>
    </xf>
    <xf numFmtId="0" fontId="2" fillId="4" borderId="67" xfId="0" applyFont="1" applyFill="1" applyBorder="1" applyAlignment="1">
      <alignment horizont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6" fillId="0" borderId="18" xfId="3" applyFill="1" applyBorder="1" applyAlignment="1" applyProtection="1">
      <alignment horizontal="center" vertical="center"/>
    </xf>
    <xf numFmtId="0" fontId="6" fillId="0" borderId="1" xfId="3" applyFill="1" applyBorder="1" applyAlignment="1" applyProtection="1">
      <alignment horizontal="center" vertical="center"/>
    </xf>
    <xf numFmtId="0" fontId="6" fillId="0" borderId="11" xfId="3" applyFill="1" applyBorder="1" applyAlignment="1" applyProtection="1">
      <alignment horizontal="center" vertical="center"/>
    </xf>
    <xf numFmtId="2" fontId="0" fillId="0" borderId="1" xfId="0" applyNumberFormat="1" applyBorder="1" applyAlignment="1" applyProtection="1">
      <alignment horizontal="right"/>
      <protection locked="0"/>
    </xf>
    <xf numFmtId="2" fontId="0" fillId="0" borderId="11" xfId="0" applyNumberFormat="1" applyBorder="1" applyAlignment="1" applyProtection="1">
      <alignment horizontal="right"/>
      <protection locked="0"/>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0" fillId="0" borderId="12" xfId="0" applyBorder="1" applyAlignment="1">
      <alignment horizontal="left"/>
    </xf>
    <xf numFmtId="0" fontId="0" fillId="0" borderId="27" xfId="0" applyBorder="1" applyAlignment="1">
      <alignment horizontal="left"/>
    </xf>
    <xf numFmtId="0" fontId="0" fillId="0" borderId="13" xfId="0" applyBorder="1" applyAlignment="1">
      <alignment horizontal="left"/>
    </xf>
    <xf numFmtId="0" fontId="0" fillId="0" borderId="49" xfId="0" applyBorder="1" applyAlignment="1">
      <alignment horizontal="left"/>
    </xf>
    <xf numFmtId="0" fontId="0" fillId="0" borderId="41" xfId="0" applyBorder="1" applyAlignment="1">
      <alignment horizontal="left"/>
    </xf>
    <xf numFmtId="0" fontId="0" fillId="0" borderId="40" xfId="0" applyBorder="1" applyAlignment="1">
      <alignment horizontal="left"/>
    </xf>
    <xf numFmtId="0" fontId="0" fillId="0" borderId="10" xfId="0" applyBorder="1" applyAlignment="1">
      <alignment horizontal="left"/>
    </xf>
    <xf numFmtId="0" fontId="0" fillId="0" borderId="3" xfId="0" applyBorder="1" applyAlignment="1">
      <alignment horizontal="left"/>
    </xf>
    <xf numFmtId="0" fontId="0" fillId="0" borderId="4" xfId="0" applyBorder="1" applyAlignment="1">
      <alignment horizontal="left"/>
    </xf>
    <xf numFmtId="2" fontId="0" fillId="6" borderId="2" xfId="0" applyNumberFormat="1" applyFill="1" applyBorder="1" applyAlignment="1" applyProtection="1">
      <alignment horizontal="right" vertical="center"/>
      <protection locked="0"/>
    </xf>
    <xf numFmtId="2" fontId="0" fillId="6" borderId="3" xfId="0" applyNumberFormat="1" applyFill="1" applyBorder="1" applyAlignment="1" applyProtection="1">
      <alignment horizontal="right" vertical="center"/>
      <protection locked="0"/>
    </xf>
    <xf numFmtId="2" fontId="0" fillId="6" borderId="4" xfId="0" applyNumberFormat="1" applyFill="1" applyBorder="1" applyAlignment="1" applyProtection="1">
      <alignment horizontal="right" vertical="center"/>
      <protection locked="0"/>
    </xf>
    <xf numFmtId="2" fontId="0" fillId="13" borderId="37" xfId="0" applyNumberFormat="1" applyFill="1" applyBorder="1" applyAlignment="1" applyProtection="1">
      <alignment horizontal="right" vertical="center"/>
      <protection locked="0"/>
    </xf>
    <xf numFmtId="2" fontId="0" fillId="13" borderId="27" xfId="0" applyNumberFormat="1" applyFill="1" applyBorder="1" applyAlignment="1" applyProtection="1">
      <alignment horizontal="right" vertical="center"/>
      <protection locked="0"/>
    </xf>
    <xf numFmtId="2" fontId="0" fillId="13" borderId="13" xfId="0" applyNumberFormat="1" applyFill="1" applyBorder="1" applyAlignment="1" applyProtection="1">
      <alignment horizontal="right" vertical="center"/>
      <protection locked="0"/>
    </xf>
    <xf numFmtId="2" fontId="2" fillId="0" borderId="40" xfId="0" applyNumberFormat="1" applyFont="1" applyBorder="1" applyAlignment="1">
      <alignment horizontal="center" vertical="center"/>
    </xf>
    <xf numFmtId="2" fontId="2" fillId="0" borderId="6" xfId="0" applyNumberFormat="1" applyFont="1" applyBorder="1" applyAlignment="1">
      <alignment horizontal="center" vertical="center"/>
    </xf>
    <xf numFmtId="0" fontId="6" fillId="0" borderId="18" xfId="3" applyFill="1" applyBorder="1" applyAlignment="1" applyProtection="1">
      <alignment horizontal="center" vertical="center" wrapText="1"/>
    </xf>
    <xf numFmtId="0" fontId="6" fillId="0" borderId="1" xfId="3" applyFill="1" applyBorder="1" applyAlignment="1" applyProtection="1">
      <alignment horizontal="center" vertical="center" wrapText="1"/>
    </xf>
    <xf numFmtId="2" fontId="0" fillId="0" borderId="37" xfId="0" applyNumberFormat="1" applyBorder="1" applyAlignment="1" applyProtection="1">
      <alignment horizontal="right"/>
      <protection locked="0"/>
    </xf>
    <xf numFmtId="2" fontId="0" fillId="0" borderId="27" xfId="0" applyNumberFormat="1" applyBorder="1" applyAlignment="1" applyProtection="1">
      <alignment horizontal="right"/>
      <protection locked="0"/>
    </xf>
    <xf numFmtId="2" fontId="0" fillId="0" borderId="36" xfId="0" applyNumberFormat="1" applyBorder="1" applyAlignment="1" applyProtection="1">
      <alignment horizontal="right"/>
      <protection locked="0"/>
    </xf>
    <xf numFmtId="2" fontId="0" fillId="0" borderId="1" xfId="0" applyNumberFormat="1" applyBorder="1" applyAlignment="1" applyProtection="1">
      <alignment horizontal="right" wrapText="1"/>
      <protection locked="0"/>
    </xf>
    <xf numFmtId="2" fontId="0" fillId="0" borderId="11" xfId="0" applyNumberFormat="1" applyBorder="1" applyAlignment="1" applyProtection="1">
      <alignment horizontal="right" wrapText="1"/>
      <protection locked="0"/>
    </xf>
    <xf numFmtId="0" fontId="6" fillId="0" borderId="11" xfId="3" applyFill="1" applyBorder="1" applyAlignment="1" applyProtection="1">
      <alignment horizontal="center" vertical="center" wrapText="1"/>
    </xf>
    <xf numFmtId="2" fontId="0" fillId="6" borderId="2" xfId="0" applyNumberFormat="1" applyFill="1" applyBorder="1" applyAlignment="1" applyProtection="1">
      <alignment horizontal="right" wrapText="1"/>
      <protection locked="0"/>
    </xf>
    <xf numFmtId="2" fontId="0" fillId="6" borderId="3" xfId="0" applyNumberFormat="1" applyFill="1" applyBorder="1" applyAlignment="1" applyProtection="1">
      <alignment horizontal="right" wrapText="1"/>
      <protection locked="0"/>
    </xf>
    <xf numFmtId="2" fontId="0" fillId="6" borderId="4" xfId="0" applyNumberFormat="1" applyFill="1" applyBorder="1" applyAlignment="1" applyProtection="1">
      <alignment horizontal="right" wrapText="1"/>
      <protection locked="0"/>
    </xf>
    <xf numFmtId="2" fontId="0" fillId="7" borderId="81" xfId="2" applyFont="1" applyFill="1" applyBorder="1" applyAlignment="1">
      <alignment horizontal="center"/>
    </xf>
    <xf numFmtId="2" fontId="0" fillId="7" borderId="82" xfId="2" applyFont="1" applyFill="1" applyBorder="1" applyAlignment="1">
      <alignment horizontal="center"/>
    </xf>
    <xf numFmtId="0" fontId="6" fillId="0" borderId="12" xfId="3" applyFill="1" applyBorder="1"/>
    <xf numFmtId="0" fontId="6" fillId="0" borderId="27" xfId="3" applyFill="1" applyBorder="1"/>
    <xf numFmtId="0" fontId="6" fillId="0" borderId="13" xfId="3" applyFill="1" applyBorder="1"/>
    <xf numFmtId="0" fontId="4" fillId="7" borderId="86" xfId="0" applyFont="1" applyFill="1" applyBorder="1" applyAlignment="1">
      <alignment horizontal="center"/>
    </xf>
    <xf numFmtId="0" fontId="4" fillId="7" borderId="87" xfId="0" applyFont="1" applyFill="1" applyBorder="1" applyAlignment="1">
      <alignment horizontal="center"/>
    </xf>
    <xf numFmtId="0" fontId="4" fillId="7" borderId="88" xfId="0" applyFont="1" applyFill="1" applyBorder="1" applyAlignment="1">
      <alignment horizontal="center"/>
    </xf>
    <xf numFmtId="0" fontId="4" fillId="19" borderId="7" xfId="0" applyFont="1" applyFill="1" applyBorder="1" applyAlignment="1">
      <alignment horizontal="left" vertical="center"/>
    </xf>
    <xf numFmtId="0" fontId="4" fillId="19" borderId="8" xfId="0" applyFont="1" applyFill="1" applyBorder="1" applyAlignment="1">
      <alignment horizontal="left" vertical="center"/>
    </xf>
    <xf numFmtId="0" fontId="4" fillId="19" borderId="73" xfId="0" applyFont="1" applyFill="1" applyBorder="1" applyAlignment="1">
      <alignment horizontal="left"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13" borderId="48" xfId="2" applyNumberFormat="1" applyFont="1" applyFill="1" applyBorder="1" applyAlignment="1">
      <alignment horizontal="center"/>
    </xf>
    <xf numFmtId="0" fontId="2" fillId="13" borderId="51" xfId="2" applyNumberFormat="1" applyFont="1" applyFill="1" applyBorder="1" applyAlignment="1">
      <alignment horizontal="center"/>
    </xf>
    <xf numFmtId="0" fontId="0" fillId="0" borderId="2" xfId="0" applyBorder="1" applyAlignment="1">
      <alignment horizontal="left" vertical="center" wrapText="1"/>
    </xf>
    <xf numFmtId="0" fontId="0" fillId="0" borderId="37" xfId="0" applyBorder="1" applyAlignment="1">
      <alignment horizontal="left" vertical="center" wrapText="1"/>
    </xf>
    <xf numFmtId="2" fontId="0" fillId="13" borderId="46" xfId="2" applyFont="1" applyFill="1" applyBorder="1" applyAlignment="1">
      <alignment horizontal="center"/>
    </xf>
    <xf numFmtId="2" fontId="0" fillId="13" borderId="5" xfId="2" applyFont="1" applyFill="1" applyBorder="1" applyAlignment="1">
      <alignment horizontal="center"/>
    </xf>
    <xf numFmtId="2" fontId="0" fillId="13" borderId="53" xfId="2" applyFont="1" applyFill="1" applyBorder="1" applyAlignment="1">
      <alignment horizontal="center"/>
    </xf>
    <xf numFmtId="2" fontId="0" fillId="6" borderId="37" xfId="0" applyNumberFormat="1" applyFill="1" applyBorder="1" applyAlignment="1" applyProtection="1">
      <alignment horizontal="right" wrapText="1"/>
      <protection locked="0"/>
    </xf>
    <xf numFmtId="2" fontId="0" fillId="6" borderId="27" xfId="0" applyNumberFormat="1" applyFill="1" applyBorder="1" applyAlignment="1" applyProtection="1">
      <alignment horizontal="right" wrapText="1"/>
      <protection locked="0"/>
    </xf>
    <xf numFmtId="2" fontId="0" fillId="6" borderId="13" xfId="0" applyNumberFormat="1" applyFill="1" applyBorder="1" applyAlignment="1" applyProtection="1">
      <alignment horizontal="right" wrapText="1"/>
      <protection locked="0"/>
    </xf>
    <xf numFmtId="0" fontId="2" fillId="0" borderId="1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18" xfId="0" applyBorder="1" applyAlignment="1" applyProtection="1">
      <alignment horizontal="center"/>
      <protection locked="0"/>
    </xf>
    <xf numFmtId="2" fontId="1" fillId="13" borderId="2" xfId="2" applyFill="1" applyBorder="1" applyAlignment="1">
      <alignment horizontal="center"/>
    </xf>
    <xf numFmtId="2" fontId="1" fillId="13" borderId="3" xfId="2" applyFill="1" applyBorder="1" applyAlignment="1">
      <alignment horizontal="center"/>
    </xf>
    <xf numFmtId="2" fontId="1" fillId="13" borderId="4" xfId="2" applyFill="1" applyBorder="1" applyAlignment="1">
      <alignment horizontal="center"/>
    </xf>
    <xf numFmtId="2" fontId="0" fillId="13" borderId="1" xfId="0" applyNumberFormat="1" applyFill="1" applyBorder="1" applyAlignment="1">
      <alignment horizontal="right"/>
    </xf>
    <xf numFmtId="0" fontId="0" fillId="0" borderId="19" xfId="0" applyBorder="1" applyAlignment="1">
      <alignment horizontal="left"/>
    </xf>
    <xf numFmtId="0" fontId="0" fillId="0" borderId="20" xfId="0" applyBorder="1" applyAlignment="1">
      <alignment horizontal="left"/>
    </xf>
    <xf numFmtId="0" fontId="0" fillId="0" borderId="18" xfId="0" applyBorder="1" applyAlignment="1">
      <alignment horizontal="left"/>
    </xf>
    <xf numFmtId="0" fontId="0" fillId="0" borderId="1" xfId="0" applyBorder="1" applyAlignment="1">
      <alignment horizontal="left"/>
    </xf>
    <xf numFmtId="0" fontId="0" fillId="6" borderId="1" xfId="0" applyFill="1" applyBorder="1" applyAlignment="1" applyProtection="1">
      <alignment horizontal="center" vertical="center" wrapText="1"/>
      <protection locked="0"/>
    </xf>
    <xf numFmtId="0" fontId="0" fillId="6" borderId="2" xfId="0" applyFill="1" applyBorder="1" applyAlignment="1" applyProtection="1">
      <alignment horizontal="center"/>
      <protection locked="0"/>
    </xf>
    <xf numFmtId="0" fontId="0" fillId="6" borderId="3"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2" fillId="4" borderId="38" xfId="0" applyFont="1" applyFill="1" applyBorder="1" applyAlignment="1">
      <alignment horizontal="center" vertical="center" wrapText="1"/>
    </xf>
    <xf numFmtId="0" fontId="2" fillId="4" borderId="65"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0" fillId="6" borderId="2" xfId="0" applyFill="1" applyBorder="1" applyAlignment="1" applyProtection="1">
      <alignment horizontal="center" vertical="center" wrapText="1"/>
      <protection locked="0"/>
    </xf>
    <xf numFmtId="0" fontId="0" fillId="6" borderId="3" xfId="0" applyFill="1" applyBorder="1" applyAlignment="1" applyProtection="1">
      <alignment horizontal="center" vertical="center" wrapText="1"/>
      <protection locked="0"/>
    </xf>
    <xf numFmtId="0" fontId="0" fillId="6" borderId="21" xfId="0" applyFill="1" applyBorder="1" applyAlignment="1" applyProtection="1">
      <alignment horizontal="center" vertical="center" wrapText="1"/>
      <protection locked="0"/>
    </xf>
    <xf numFmtId="0" fontId="4" fillId="19" borderId="3" xfId="0" applyFont="1" applyFill="1" applyBorder="1" applyAlignment="1">
      <alignment horizontal="left" vertical="center" wrapText="1"/>
    </xf>
    <xf numFmtId="0" fontId="4" fillId="19" borderId="2"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19" borderId="3"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19" borderId="2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6" fillId="0" borderId="64" xfId="3" applyFill="1" applyBorder="1" applyAlignment="1" applyProtection="1">
      <alignment horizontal="center" vertical="center"/>
    </xf>
    <xf numFmtId="0" fontId="7" fillId="0" borderId="10" xfId="3" applyFont="1" applyFill="1" applyBorder="1" applyAlignment="1" applyProtection="1">
      <alignment horizontal="center" vertical="center" wrapText="1"/>
    </xf>
    <xf numFmtId="0" fontId="7" fillId="0" borderId="3" xfId="3" applyFont="1" applyFill="1" applyBorder="1" applyAlignment="1" applyProtection="1">
      <alignment horizontal="center" vertical="center" wrapText="1"/>
    </xf>
    <xf numFmtId="0" fontId="7" fillId="0" borderId="21" xfId="3" applyFont="1" applyFill="1" applyBorder="1" applyAlignment="1" applyProtection="1">
      <alignment horizontal="center" vertical="center" wrapText="1"/>
    </xf>
    <xf numFmtId="0" fontId="2" fillId="3" borderId="28" xfId="0" applyFont="1" applyFill="1" applyBorder="1" applyAlignment="1">
      <alignment horizontal="center" vertical="center"/>
    </xf>
    <xf numFmtId="0" fontId="2" fillId="3" borderId="67" xfId="0" applyFont="1" applyFill="1" applyBorder="1" applyAlignment="1">
      <alignment horizontal="center" vertical="center"/>
    </xf>
    <xf numFmtId="0" fontId="6" fillId="0" borderId="64" xfId="3" applyFill="1" applyBorder="1" applyAlignment="1" applyProtection="1">
      <alignment horizontal="center" vertical="center" wrapText="1"/>
    </xf>
    <xf numFmtId="0" fontId="2" fillId="0" borderId="7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4" xfId="0" applyFont="1" applyBorder="1" applyAlignment="1">
      <alignment horizontal="center" vertical="center" wrapText="1"/>
    </xf>
    <xf numFmtId="2" fontId="0" fillId="6" borderId="73" xfId="0" applyNumberFormat="1" applyFill="1" applyBorder="1" applyAlignment="1" applyProtection="1">
      <alignment horizontal="right" wrapText="1"/>
      <protection locked="0"/>
    </xf>
    <xf numFmtId="2" fontId="0" fillId="6" borderId="16" xfId="0" applyNumberFormat="1" applyFill="1" applyBorder="1" applyAlignment="1" applyProtection="1">
      <alignment horizontal="right" wrapText="1"/>
      <protection locked="0"/>
    </xf>
    <xf numFmtId="2" fontId="0" fillId="6" borderId="24" xfId="0" applyNumberFormat="1" applyFill="1" applyBorder="1" applyAlignment="1" applyProtection="1">
      <alignment horizontal="right" wrapText="1"/>
      <protection locked="0"/>
    </xf>
    <xf numFmtId="0" fontId="0" fillId="6" borderId="8" xfId="0" applyFill="1" applyBorder="1" applyAlignment="1" applyProtection="1">
      <alignment horizontal="center"/>
      <protection locked="0"/>
    </xf>
    <xf numFmtId="170" fontId="0" fillId="13" borderId="37" xfId="2" applyNumberFormat="1" applyFont="1" applyFill="1" applyBorder="1" applyAlignment="1">
      <alignment horizontal="right"/>
    </xf>
    <xf numFmtId="170" fontId="0" fillId="13" borderId="27" xfId="2" applyNumberFormat="1" applyFont="1" applyFill="1" applyBorder="1" applyAlignment="1">
      <alignment horizontal="right"/>
    </xf>
    <xf numFmtId="170" fontId="0" fillId="13" borderId="36" xfId="2" applyNumberFormat="1" applyFont="1" applyFill="1" applyBorder="1" applyAlignment="1">
      <alignment horizontal="right"/>
    </xf>
    <xf numFmtId="0" fontId="6" fillId="6" borderId="1" xfId="3" applyFill="1" applyBorder="1" applyAlignment="1" applyProtection="1">
      <alignment horizontal="center"/>
      <protection locked="0"/>
    </xf>
    <xf numFmtId="0" fontId="0" fillId="6" borderId="11" xfId="0" applyFill="1" applyBorder="1" applyAlignment="1" applyProtection="1">
      <alignment horizontal="center"/>
      <protection locked="0"/>
    </xf>
    <xf numFmtId="0" fontId="10" fillId="0" borderId="48" xfId="0" applyFont="1" applyBorder="1" applyAlignment="1">
      <alignment horizontal="center" vertical="center" wrapText="1"/>
    </xf>
    <xf numFmtId="0" fontId="7" fillId="0" borderId="10" xfId="3" applyFont="1" applyBorder="1" applyAlignment="1" applyProtection="1">
      <alignment horizontal="center" vertical="center" wrapText="1"/>
    </xf>
    <xf numFmtId="0" fontId="7" fillId="0" borderId="3" xfId="3" applyFont="1" applyBorder="1" applyAlignment="1" applyProtection="1">
      <alignment horizontal="center" vertical="center" wrapText="1"/>
    </xf>
    <xf numFmtId="0" fontId="7" fillId="0" borderId="21" xfId="3" applyFont="1" applyBorder="1" applyAlignment="1" applyProtection="1">
      <alignment horizontal="center" vertical="center" wrapText="1"/>
    </xf>
    <xf numFmtId="0" fontId="0" fillId="6" borderId="52"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47" xfId="0" applyFill="1" applyBorder="1" applyAlignment="1" applyProtection="1">
      <alignment horizontal="center"/>
      <protection locked="0"/>
    </xf>
    <xf numFmtId="14" fontId="0" fillId="13" borderId="20" xfId="0" applyNumberFormat="1" applyFill="1" applyBorder="1" applyAlignment="1">
      <alignment horizontal="center" vertical="top" wrapText="1"/>
    </xf>
    <xf numFmtId="14" fontId="0" fillId="13" borderId="14" xfId="0" applyNumberFormat="1" applyFill="1" applyBorder="1" applyAlignment="1">
      <alignment horizontal="center" vertical="top" wrapText="1"/>
    </xf>
    <xf numFmtId="0" fontId="4" fillId="13" borderId="2" xfId="0" applyFont="1" applyFill="1" applyBorder="1" applyAlignment="1">
      <alignment horizontal="center" vertical="center"/>
      <extLst>
        <ext xmlns:xfpb="http://schemas.microsoft.com/office/spreadsheetml/2022/featurepropertybag" uri="{C7286773-470A-42A8-94C5-96B5CB345126}">
          <xfpb:xfComplement i="0"/>
        </ext>
      </extLst>
    </xf>
    <xf numFmtId="0" fontId="4" fillId="13" borderId="3" xfId="0" applyFont="1" applyFill="1" applyBorder="1" applyAlignment="1">
      <alignment horizontal="center" vertical="center"/>
      <extLst>
        <ext xmlns:xfpb="http://schemas.microsoft.com/office/spreadsheetml/2022/featurepropertybag" uri="{C7286773-470A-42A8-94C5-96B5CB345126}">
          <xfpb:xfComplement i="0"/>
        </ext>
      </extLst>
    </xf>
    <xf numFmtId="0" fontId="4" fillId="13" borderId="21" xfId="0" applyFont="1" applyFill="1" applyBorder="1" applyAlignment="1">
      <alignment horizontal="center" vertical="center"/>
      <extLst>
        <ext xmlns:xfpb="http://schemas.microsoft.com/office/spreadsheetml/2022/featurepropertybag" uri="{C7286773-470A-42A8-94C5-96B5CB345126}">
          <xfpb:xfComplement i="0"/>
        </ext>
      </extLst>
    </xf>
    <xf numFmtId="0" fontId="13" fillId="19" borderId="2"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3" fillId="19" borderId="3"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3" fillId="19" borderId="2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4" xfId="0" applyFont="1" applyBorder="1" applyAlignment="1">
      <alignment horizontal="center" vertical="center"/>
    </xf>
    <xf numFmtId="0" fontId="13" fillId="6" borderId="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3" fillId="6" borderId="1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2" fontId="0" fillId="13" borderId="6" xfId="2" applyFont="1" applyFill="1" applyBorder="1" applyAlignment="1">
      <alignment horizontal="right" vertical="center"/>
    </xf>
    <xf numFmtId="2" fontId="0" fillId="13" borderId="44" xfId="2" applyFont="1" applyFill="1" applyBorder="1" applyAlignment="1">
      <alignment horizontal="right" vertical="center"/>
    </xf>
    <xf numFmtId="0" fontId="0" fillId="19" borderId="2" xfId="0" applyFill="1" applyBorder="1" applyAlignment="1" applyProtection="1">
      <alignment horizontal="left" vertical="center" wrapText="1"/>
      <protection locked="0"/>
    </xf>
    <xf numFmtId="0" fontId="0" fillId="19" borderId="3" xfId="0" applyFill="1" applyBorder="1" applyAlignment="1" applyProtection="1">
      <alignment horizontal="left" vertical="center" wrapText="1"/>
      <protection locked="0"/>
    </xf>
    <xf numFmtId="0" fontId="0" fillId="19" borderId="21" xfId="0" applyFill="1" applyBorder="1" applyAlignment="1" applyProtection="1">
      <alignment horizontal="left" vertical="center" wrapText="1"/>
      <protection locked="0"/>
    </xf>
    <xf numFmtId="0" fontId="0" fillId="6" borderId="1" xfId="0" applyFill="1" applyBorder="1" applyAlignment="1" applyProtection="1">
      <alignment horizontal="left" vertical="top" wrapText="1"/>
      <protection locked="0"/>
    </xf>
    <xf numFmtId="0" fontId="0" fillId="6" borderId="11" xfId="0" applyFill="1" applyBorder="1" applyAlignment="1" applyProtection="1">
      <alignment horizontal="left" vertical="top" wrapText="1"/>
      <protection locked="0"/>
    </xf>
    <xf numFmtId="0" fontId="0" fillId="6" borderId="19" xfId="0" applyFill="1" applyBorder="1" applyAlignment="1" applyProtection="1">
      <alignment horizontal="left" vertical="top" wrapText="1"/>
      <protection locked="0"/>
    </xf>
    <xf numFmtId="0" fontId="0" fillId="6" borderId="12" xfId="0" applyFill="1" applyBorder="1" applyAlignment="1" applyProtection="1">
      <alignment horizontal="left" vertical="top" wrapText="1"/>
      <protection locked="0"/>
    </xf>
    <xf numFmtId="0" fontId="2" fillId="4" borderId="28" xfId="0" applyFont="1" applyFill="1" applyBorder="1" applyAlignment="1">
      <alignment horizontal="center"/>
    </xf>
    <xf numFmtId="170" fontId="0" fillId="13" borderId="2" xfId="2" applyNumberFormat="1" applyFont="1" applyFill="1" applyBorder="1" applyAlignment="1">
      <alignment horizontal="right"/>
    </xf>
    <xf numFmtId="170" fontId="0" fillId="13" borderId="3" xfId="2" applyNumberFormat="1" applyFont="1" applyFill="1" applyBorder="1" applyAlignment="1">
      <alignment horizontal="right"/>
    </xf>
    <xf numFmtId="170" fontId="0" fillId="13" borderId="21" xfId="2" applyNumberFormat="1" applyFont="1" applyFill="1" applyBorder="1" applyAlignment="1">
      <alignment horizontal="right"/>
    </xf>
    <xf numFmtId="0" fontId="0" fillId="6" borderId="4" xfId="0"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2" fontId="0" fillId="6" borderId="1" xfId="0" applyNumberFormat="1" applyFill="1" applyBorder="1" applyAlignment="1" applyProtection="1">
      <alignment horizontal="right" vertical="center"/>
      <protection locked="0"/>
    </xf>
    <xf numFmtId="2" fontId="0" fillId="13" borderId="30" xfId="2" applyFont="1" applyFill="1" applyBorder="1" applyAlignment="1">
      <alignment horizontal="right" vertical="center"/>
    </xf>
    <xf numFmtId="0" fontId="6" fillId="0" borderId="8" xfId="3" applyFill="1" applyBorder="1" applyAlignment="1" applyProtection="1">
      <alignment horizontal="center" vertical="center"/>
    </xf>
    <xf numFmtId="2" fontId="0" fillId="13" borderId="37" xfId="2" applyFont="1" applyFill="1" applyBorder="1" applyAlignment="1">
      <alignment horizontal="right" vertical="center"/>
    </xf>
    <xf numFmtId="2" fontId="0" fillId="13" borderId="27" xfId="2" applyFont="1" applyFill="1" applyBorder="1" applyAlignment="1">
      <alignment horizontal="right" vertical="center"/>
    </xf>
    <xf numFmtId="2" fontId="0" fillId="13" borderId="36" xfId="2" applyFont="1" applyFill="1" applyBorder="1" applyAlignment="1">
      <alignment horizontal="right" vertical="center"/>
    </xf>
    <xf numFmtId="2" fontId="0" fillId="13" borderId="12" xfId="2" applyFont="1" applyFill="1" applyBorder="1" applyAlignment="1">
      <alignment horizontal="right" vertical="center"/>
    </xf>
    <xf numFmtId="2" fontId="0" fillId="13" borderId="13" xfId="2" applyFont="1" applyFill="1" applyBorder="1" applyAlignment="1">
      <alignment horizontal="right" vertical="center"/>
    </xf>
    <xf numFmtId="0" fontId="0" fillId="0" borderId="48" xfId="0" applyBorder="1" applyAlignment="1">
      <alignment horizontal="left" vertical="center" wrapText="1"/>
    </xf>
    <xf numFmtId="170" fontId="0" fillId="13" borderId="48" xfId="2" applyNumberFormat="1" applyFont="1" applyFill="1" applyBorder="1" applyAlignment="1">
      <alignment horizontal="right"/>
    </xf>
    <xf numFmtId="170" fontId="0" fillId="13" borderId="51" xfId="2" applyNumberFormat="1" applyFont="1" applyFill="1" applyBorder="1" applyAlignment="1">
      <alignment horizontal="right"/>
    </xf>
    <xf numFmtId="0" fontId="0" fillId="19" borderId="7"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19" borderId="8"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19" borderId="9"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2" fontId="0" fillId="13" borderId="37" xfId="0" applyNumberFormat="1" applyFill="1" applyBorder="1" applyAlignment="1">
      <alignment horizontal="right"/>
    </xf>
    <xf numFmtId="0" fontId="6" fillId="0" borderId="7" xfId="3" applyFill="1" applyBorder="1" applyAlignment="1" applyProtection="1">
      <alignment horizontal="center" vertical="center"/>
    </xf>
    <xf numFmtId="2" fontId="0" fillId="13" borderId="14" xfId="0" applyNumberFormat="1" applyFill="1" applyBorder="1" applyAlignment="1">
      <alignment horizontal="right"/>
    </xf>
    <xf numFmtId="2" fontId="0" fillId="13" borderId="6" xfId="0" applyNumberFormat="1" applyFill="1" applyBorder="1" applyAlignment="1">
      <alignment horizontal="right"/>
    </xf>
    <xf numFmtId="2" fontId="0" fillId="13" borderId="44" xfId="0" applyNumberFormat="1" applyFill="1" applyBorder="1" applyAlignment="1">
      <alignment horizontal="right"/>
    </xf>
    <xf numFmtId="0" fontId="2" fillId="0" borderId="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0" fillId="0" borderId="48" xfId="0" applyBorder="1" applyAlignment="1" applyProtection="1">
      <alignment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vertical="center" wrapText="1"/>
      <protection locked="0"/>
    </xf>
    <xf numFmtId="0" fontId="0" fillId="0" borderId="20" xfId="0" applyBorder="1" applyAlignment="1" applyProtection="1">
      <alignment vertical="center" wrapText="1"/>
      <protection locked="0"/>
    </xf>
    <xf numFmtId="0" fontId="0" fillId="0" borderId="20" xfId="0" applyBorder="1" applyAlignment="1" applyProtection="1">
      <alignment horizontal="center" vertical="center"/>
      <protection locked="0"/>
    </xf>
    <xf numFmtId="0" fontId="2" fillId="0" borderId="6" xfId="0" applyFont="1" applyBorder="1" applyAlignment="1">
      <alignment horizontal="center" vertical="center" wrapText="1"/>
    </xf>
    <xf numFmtId="0" fontId="0" fillId="0" borderId="6" xfId="0" applyBorder="1" applyAlignment="1" applyProtection="1">
      <alignment vertical="center" wrapText="1"/>
      <protection locked="0"/>
    </xf>
    <xf numFmtId="0" fontId="2" fillId="0" borderId="6" xfId="0" applyFont="1" applyBorder="1" applyAlignment="1">
      <alignment horizontal="center" vertical="center"/>
    </xf>
    <xf numFmtId="2" fontId="0" fillId="13" borderId="40" xfId="2" applyFont="1" applyFill="1" applyBorder="1" applyAlignment="1">
      <alignment horizontal="right" vertical="center"/>
    </xf>
    <xf numFmtId="2" fontId="0" fillId="6" borderId="20" xfId="0" applyNumberFormat="1" applyFill="1" applyBorder="1" applyAlignment="1" applyProtection="1">
      <alignment horizontal="right"/>
      <protection locked="0"/>
    </xf>
    <xf numFmtId="0" fontId="2" fillId="3" borderId="59" xfId="0" applyFont="1" applyFill="1" applyBorder="1" applyAlignment="1">
      <alignment horizontal="center" vertical="center"/>
    </xf>
    <xf numFmtId="2" fontId="2" fillId="0" borderId="0" xfId="0" applyNumberFormat="1" applyFont="1" applyAlignment="1">
      <alignment horizontal="center" vertical="center"/>
    </xf>
    <xf numFmtId="0" fontId="2" fillId="0" borderId="25" xfId="0" applyFont="1" applyBorder="1" applyAlignment="1">
      <alignment horizontal="center"/>
    </xf>
    <xf numFmtId="0" fontId="2" fillId="0" borderId="0" xfId="0" applyFont="1" applyAlignment="1">
      <alignment horizontal="center"/>
    </xf>
    <xf numFmtId="0" fontId="2" fillId="0" borderId="25" xfId="0" applyFont="1" applyBorder="1" applyAlignment="1">
      <alignment horizontal="center" vertical="center" wrapText="1"/>
    </xf>
    <xf numFmtId="2" fontId="0" fillId="6" borderId="46" xfId="0" applyNumberFormat="1" applyFill="1" applyBorder="1" applyAlignment="1" applyProtection="1">
      <alignment horizontal="right" wrapText="1"/>
      <protection locked="0"/>
    </xf>
    <xf numFmtId="0" fontId="0" fillId="0" borderId="6" xfId="0" applyBorder="1" applyAlignment="1" applyProtection="1">
      <alignment horizontal="center" vertical="center"/>
      <protection locked="0"/>
    </xf>
    <xf numFmtId="0" fontId="2" fillId="3" borderId="73" xfId="0" applyFont="1" applyFill="1" applyBorder="1" applyAlignment="1">
      <alignment horizontal="center" vertical="center"/>
    </xf>
    <xf numFmtId="0" fontId="6" fillId="0" borderId="2" xfId="3" applyFill="1" applyBorder="1" applyAlignment="1" applyProtection="1">
      <alignment horizontal="center" vertical="center"/>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6" borderId="2" xfId="0" applyFill="1" applyBorder="1" applyAlignment="1" applyProtection="1">
      <alignment horizontal="right"/>
      <protection locked="0"/>
    </xf>
    <xf numFmtId="0" fontId="0" fillId="6" borderId="3" xfId="0" applyFill="1" applyBorder="1" applyAlignment="1" applyProtection="1">
      <alignment horizontal="right"/>
      <protection locked="0"/>
    </xf>
    <xf numFmtId="0" fontId="0" fillId="6" borderId="4" xfId="0" applyFill="1" applyBorder="1" applyAlignment="1" applyProtection="1">
      <alignment horizontal="right"/>
      <protection locked="0"/>
    </xf>
    <xf numFmtId="2" fontId="0" fillId="13" borderId="11" xfId="0" applyNumberFormat="1" applyFill="1" applyBorder="1" applyAlignment="1">
      <alignment horizontal="right"/>
    </xf>
    <xf numFmtId="0" fontId="0" fillId="13" borderId="3" xfId="0" applyFill="1" applyBorder="1" applyAlignment="1">
      <alignment horizontal="center"/>
    </xf>
    <xf numFmtId="0" fontId="0" fillId="13" borderId="27" xfId="0" applyFill="1" applyBorder="1" applyAlignment="1">
      <alignment horizontal="center"/>
    </xf>
    <xf numFmtId="0" fontId="0" fillId="13" borderId="4" xfId="0" applyFill="1" applyBorder="1" applyAlignment="1">
      <alignment horizontal="center"/>
    </xf>
    <xf numFmtId="0" fontId="0" fillId="13" borderId="13" xfId="0" applyFill="1" applyBorder="1" applyAlignment="1">
      <alignment horizontal="center"/>
    </xf>
    <xf numFmtId="0" fontId="0" fillId="7" borderId="16" xfId="0" applyFill="1" applyBorder="1" applyAlignment="1" applyProtection="1">
      <alignment horizontal="center"/>
      <protection locked="0"/>
    </xf>
    <xf numFmtId="0" fontId="0" fillId="7" borderId="24" xfId="0" applyFill="1" applyBorder="1" applyAlignment="1" applyProtection="1">
      <alignment horizontal="center"/>
      <protection locked="0"/>
    </xf>
    <xf numFmtId="0" fontId="2" fillId="0" borderId="1"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2" fillId="0" borderId="14"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2" fontId="0" fillId="0" borderId="20" xfId="0" applyNumberFormat="1" applyBorder="1" applyAlignment="1" applyProtection="1">
      <alignment horizontal="right" wrapText="1"/>
      <protection locked="0"/>
    </xf>
    <xf numFmtId="2" fontId="0" fillId="0" borderId="14" xfId="0" applyNumberFormat="1" applyBorder="1" applyAlignment="1" applyProtection="1">
      <alignment horizontal="right" wrapText="1"/>
      <protection locked="0"/>
    </xf>
    <xf numFmtId="2" fontId="2" fillId="0" borderId="25" xfId="0" applyNumberFormat="1" applyFont="1" applyBorder="1" applyAlignment="1">
      <alignment horizontal="center" vertical="center"/>
    </xf>
    <xf numFmtId="0" fontId="23" fillId="19" borderId="2"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3" fillId="19" borderId="3"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3" fillId="19" borderId="2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6" xfId="0" applyFont="1" applyBorder="1" applyAlignment="1">
      <alignment horizontal="left"/>
    </xf>
    <xf numFmtId="0" fontId="2" fillId="0" borderId="44" xfId="0" applyFont="1" applyBorder="1" applyAlignment="1">
      <alignment horizontal="left"/>
    </xf>
    <xf numFmtId="0" fontId="0" fillId="13" borderId="16" xfId="0" applyFill="1" applyBorder="1" applyAlignment="1">
      <alignment horizontal="center"/>
    </xf>
    <xf numFmtId="2" fontId="0" fillId="13" borderId="8" xfId="0" applyNumberFormat="1" applyFill="1" applyBorder="1" applyAlignment="1">
      <alignment horizontal="right"/>
    </xf>
    <xf numFmtId="2" fontId="0" fillId="13" borderId="9" xfId="0" applyNumberFormat="1" applyFill="1" applyBorder="1" applyAlignment="1">
      <alignment horizontal="right"/>
    </xf>
    <xf numFmtId="0" fontId="24" fillId="19" borderId="3" xfId="0" applyFont="1" applyFill="1" applyBorder="1" applyAlignment="1">
      <alignment horizontal="left" vertical="center" wrapText="1"/>
    </xf>
    <xf numFmtId="0" fontId="24" fillId="19" borderId="4" xfId="0" applyFont="1" applyFill="1" applyBorder="1" applyAlignment="1">
      <alignment horizontal="left" vertical="center" wrapText="1"/>
    </xf>
    <xf numFmtId="0" fontId="0" fillId="7" borderId="0" xfId="0" applyFill="1" applyAlignment="1">
      <alignment horizontal="left" wrapText="1"/>
    </xf>
    <xf numFmtId="0" fontId="0" fillId="7" borderId="0" xfId="0" applyFill="1" applyAlignment="1">
      <alignment horizontal="left" vertical="center"/>
    </xf>
    <xf numFmtId="0" fontId="2" fillId="3" borderId="33"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2" fillId="3" borderId="35" xfId="0" applyFont="1" applyFill="1" applyBorder="1" applyAlignment="1">
      <alignment horizontal="center" vertical="center" wrapText="1"/>
    </xf>
    <xf numFmtId="2" fontId="1" fillId="13" borderId="61" xfId="2" applyFill="1" applyBorder="1" applyAlignment="1">
      <alignment horizontal="center" vertical="center"/>
    </xf>
    <xf numFmtId="2" fontId="1" fillId="13" borderId="63" xfId="2" applyFill="1" applyBorder="1" applyAlignment="1">
      <alignment horizontal="center" vertical="center"/>
    </xf>
    <xf numFmtId="2" fontId="0" fillId="13" borderId="33" xfId="2" applyFont="1" applyFill="1" applyBorder="1" applyAlignment="1">
      <alignment horizontal="center" vertical="center"/>
    </xf>
    <xf numFmtId="2" fontId="0" fillId="13" borderId="34" xfId="2" applyFont="1" applyFill="1" applyBorder="1" applyAlignment="1">
      <alignment horizontal="center" vertical="center"/>
    </xf>
    <xf numFmtId="2" fontId="0" fillId="13" borderId="35" xfId="2" applyFont="1" applyFill="1" applyBorder="1" applyAlignment="1">
      <alignment horizontal="center" vertical="center"/>
    </xf>
    <xf numFmtId="0" fontId="7" fillId="0" borderId="43"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56" xfId="0" applyFont="1" applyBorder="1" applyAlignment="1">
      <alignment horizontal="center" vertical="center" wrapText="1"/>
    </xf>
    <xf numFmtId="2" fontId="0" fillId="0" borderId="2" xfId="0" applyNumberFormat="1" applyBorder="1" applyAlignment="1" applyProtection="1">
      <alignment horizontal="right" wrapText="1"/>
      <protection locked="0"/>
    </xf>
    <xf numFmtId="2" fontId="0" fillId="0" borderId="3" xfId="0" applyNumberFormat="1" applyBorder="1" applyAlignment="1" applyProtection="1">
      <alignment horizontal="right" wrapText="1"/>
      <protection locked="0"/>
    </xf>
    <xf numFmtId="2" fontId="0" fillId="0" borderId="21" xfId="0" applyNumberFormat="1" applyBorder="1" applyAlignment="1" applyProtection="1">
      <alignment horizontal="right" wrapText="1"/>
      <protection locked="0"/>
    </xf>
    <xf numFmtId="0" fontId="2" fillId="7" borderId="0" xfId="0" applyFont="1" applyFill="1" applyAlignment="1">
      <alignment horizontal="center" vertical="center"/>
    </xf>
    <xf numFmtId="2" fontId="0" fillId="0" borderId="46" xfId="0" applyNumberFormat="1" applyBorder="1" applyAlignment="1" applyProtection="1">
      <alignment horizontal="right" wrapText="1"/>
      <protection locked="0"/>
    </xf>
    <xf numFmtId="2" fontId="0" fillId="0" borderId="5" xfId="0" applyNumberFormat="1" applyBorder="1" applyAlignment="1" applyProtection="1">
      <alignment horizontal="right" wrapText="1"/>
      <protection locked="0"/>
    </xf>
    <xf numFmtId="2" fontId="0" fillId="0" borderId="47" xfId="0" applyNumberFormat="1" applyBorder="1" applyAlignment="1" applyProtection="1">
      <alignment horizontal="right" wrapText="1"/>
      <protection locked="0"/>
    </xf>
    <xf numFmtId="0" fontId="6" fillId="0" borderId="5" xfId="3" applyFill="1" applyBorder="1" applyAlignment="1" applyProtection="1">
      <alignment horizontal="center" vertical="center" wrapText="1"/>
    </xf>
    <xf numFmtId="0" fontId="6" fillId="0" borderId="47" xfId="3" applyFill="1" applyBorder="1" applyAlignment="1" applyProtection="1">
      <alignment horizontal="center" vertical="center" wrapText="1"/>
    </xf>
    <xf numFmtId="0" fontId="7" fillId="0" borderId="4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7" xfId="0" applyFont="1" applyBorder="1" applyAlignment="1">
      <alignment horizontal="center" vertical="center" wrapText="1"/>
    </xf>
    <xf numFmtId="2" fontId="0" fillId="13" borderId="43" xfId="0" applyNumberFormat="1" applyFill="1" applyBorder="1" applyAlignment="1">
      <alignment horizontal="right" wrapText="1"/>
    </xf>
    <xf numFmtId="2" fontId="0" fillId="13" borderId="41" xfId="0" applyNumberFormat="1" applyFill="1" applyBorder="1" applyAlignment="1">
      <alignment horizontal="right" wrapText="1"/>
    </xf>
    <xf numFmtId="2" fontId="0" fillId="13" borderId="56" xfId="0" applyNumberFormat="1" applyFill="1" applyBorder="1" applyAlignment="1">
      <alignment horizontal="right" wrapText="1"/>
    </xf>
    <xf numFmtId="2" fontId="0" fillId="13" borderId="37" xfId="0" applyNumberFormat="1" applyFill="1" applyBorder="1" applyAlignment="1">
      <alignment horizontal="right" wrapText="1"/>
    </xf>
    <xf numFmtId="2" fontId="0" fillId="13" borderId="14" xfId="0" applyNumberFormat="1" applyFill="1" applyBorder="1" applyAlignment="1">
      <alignment horizontal="right" wrapText="1"/>
    </xf>
    <xf numFmtId="0" fontId="0" fillId="0" borderId="10" xfId="0" applyBorder="1" applyAlignment="1" applyProtection="1">
      <alignment horizontal="center"/>
      <protection locked="0"/>
    </xf>
    <xf numFmtId="0" fontId="0" fillId="0" borderId="4" xfId="0" applyBorder="1" applyAlignment="1" applyProtection="1">
      <alignment horizontal="center"/>
      <protection locked="0"/>
    </xf>
    <xf numFmtId="2" fontId="0" fillId="6" borderId="1" xfId="0" applyNumberFormat="1" applyFill="1" applyBorder="1" applyAlignment="1" applyProtection="1">
      <alignment horizontal="right" wrapText="1"/>
      <protection locked="0"/>
    </xf>
    <xf numFmtId="2" fontId="0" fillId="6" borderId="11" xfId="0" applyNumberFormat="1" applyFill="1" applyBorder="1" applyAlignment="1" applyProtection="1">
      <alignment horizontal="right" wrapText="1"/>
      <protection locked="0"/>
    </xf>
    <xf numFmtId="0" fontId="2" fillId="3" borderId="7" xfId="0" applyFont="1" applyFill="1" applyBorder="1" applyAlignment="1">
      <alignment horizontal="center"/>
    </xf>
    <xf numFmtId="0" fontId="2" fillId="3" borderId="8" xfId="0" applyFont="1" applyFill="1" applyBorder="1" applyAlignment="1">
      <alignment horizontal="center"/>
    </xf>
    <xf numFmtId="0" fontId="2" fillId="3" borderId="9" xfId="0" applyFont="1" applyFill="1" applyBorder="1" applyAlignment="1">
      <alignment horizontal="center"/>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10" fillId="19" borderId="10" xfId="3" applyFont="1" applyFill="1" applyBorder="1" applyAlignment="1" applyProtection="1">
      <alignment horizontal="center" vertical="center" wrapText="1"/>
    </xf>
    <xf numFmtId="0" fontId="38" fillId="19" borderId="4" xfId="3" applyFont="1" applyFill="1" applyBorder="1" applyAlignment="1" applyProtection="1">
      <alignment horizontal="center" vertical="center" wrapText="1"/>
    </xf>
    <xf numFmtId="2" fontId="9" fillId="6" borderId="2" xfId="3" applyNumberFormat="1" applyFont="1" applyFill="1" applyBorder="1" applyAlignment="1" applyProtection="1">
      <alignment horizontal="right" vertical="center" wrapText="1"/>
      <protection locked="0"/>
    </xf>
    <xf numFmtId="2" fontId="9" fillId="6" borderId="11" xfId="3" applyNumberFormat="1" applyFont="1" applyFill="1" applyBorder="1" applyAlignment="1" applyProtection="1">
      <alignment horizontal="right" vertical="center" wrapText="1"/>
      <protection locked="0"/>
    </xf>
    <xf numFmtId="10" fontId="0" fillId="13" borderId="27" xfId="0" applyNumberFormat="1" applyFill="1" applyBorder="1" applyAlignment="1">
      <alignment horizontal="right" vertical="center"/>
    </xf>
    <xf numFmtId="10" fontId="0" fillId="13" borderId="36" xfId="0" applyNumberFormat="1" applyFill="1" applyBorder="1" applyAlignment="1">
      <alignment horizontal="right"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2" fontId="0" fillId="13" borderId="20" xfId="0" applyNumberFormat="1" applyFill="1" applyBorder="1" applyAlignment="1">
      <alignment horizontal="right" wrapText="1"/>
    </xf>
    <xf numFmtId="2" fontId="0" fillId="0" borderId="57" xfId="0" applyNumberFormat="1" applyBorder="1" applyAlignment="1" applyProtection="1">
      <alignment horizontal="right" vertical="center"/>
      <protection locked="0"/>
    </xf>
    <xf numFmtId="2" fontId="0" fillId="0" borderId="58" xfId="0" applyNumberFormat="1" applyBorder="1" applyAlignment="1" applyProtection="1">
      <alignment horizontal="right" vertical="center"/>
      <protection locked="0"/>
    </xf>
    <xf numFmtId="0" fontId="2" fillId="3" borderId="7" xfId="0" applyFont="1" applyFill="1" applyBorder="1" applyAlignment="1">
      <alignment horizontal="center"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0" fillId="0" borderId="48" xfId="0" applyBorder="1" applyAlignment="1" applyProtection="1">
      <alignment horizontal="center" vertical="center" wrapText="1"/>
      <protection locked="0"/>
    </xf>
    <xf numFmtId="0" fontId="0" fillId="0" borderId="51" xfId="0" applyBorder="1" applyAlignment="1" applyProtection="1">
      <alignment horizontal="center" vertical="center" wrapText="1"/>
      <protection locked="0"/>
    </xf>
    <xf numFmtId="2" fontId="0" fillId="6" borderId="73" xfId="0" applyNumberFormat="1" applyFill="1" applyBorder="1" applyAlignment="1" applyProtection="1">
      <alignment horizontal="right" vertical="center" wrapText="1"/>
      <protection locked="0"/>
    </xf>
    <xf numFmtId="2" fontId="0" fillId="6" borderId="16" xfId="0" applyNumberFormat="1" applyFill="1" applyBorder="1" applyAlignment="1" applyProtection="1">
      <alignment horizontal="right" vertical="center" wrapText="1"/>
      <protection locked="0"/>
    </xf>
    <xf numFmtId="2" fontId="0" fillId="6" borderId="17" xfId="0" applyNumberFormat="1" applyFill="1" applyBorder="1" applyAlignment="1" applyProtection="1">
      <alignment horizontal="right" vertical="center" wrapText="1"/>
      <protection locked="0"/>
    </xf>
    <xf numFmtId="2" fontId="0" fillId="6" borderId="2" xfId="0" applyNumberFormat="1" applyFill="1" applyBorder="1" applyAlignment="1" applyProtection="1">
      <alignment horizontal="right" vertical="center" wrapText="1"/>
      <protection locked="0"/>
    </xf>
    <xf numFmtId="2" fontId="0" fillId="6" borderId="3" xfId="0" applyNumberFormat="1" applyFill="1" applyBorder="1" applyAlignment="1" applyProtection="1">
      <alignment horizontal="right" vertical="center" wrapText="1"/>
      <protection locked="0"/>
    </xf>
    <xf numFmtId="2" fontId="0" fillId="6" borderId="21" xfId="0" applyNumberFormat="1" applyFill="1" applyBorder="1" applyAlignment="1" applyProtection="1">
      <alignment horizontal="right" vertical="center" wrapText="1"/>
      <protection locked="0"/>
    </xf>
    <xf numFmtId="10" fontId="0" fillId="13" borderId="37" xfId="0" applyNumberFormat="1" applyFill="1" applyBorder="1" applyAlignment="1">
      <alignment horizontal="right" vertical="center" wrapText="1"/>
    </xf>
    <xf numFmtId="10" fontId="0" fillId="13" borderId="27" xfId="0" applyNumberFormat="1" applyFill="1" applyBorder="1" applyAlignment="1">
      <alignment horizontal="right" vertical="center" wrapText="1"/>
    </xf>
    <xf numFmtId="10" fontId="0" fillId="13" borderId="36" xfId="0" applyNumberFormat="1" applyFill="1" applyBorder="1" applyAlignment="1">
      <alignment horizontal="right" vertical="center" wrapText="1"/>
    </xf>
    <xf numFmtId="2" fontId="9" fillId="0" borderId="8" xfId="0" applyNumberFormat="1" applyFont="1" applyBorder="1" applyAlignment="1" applyProtection="1">
      <alignment horizontal="right" vertical="center" wrapText="1"/>
      <protection locked="0"/>
    </xf>
    <xf numFmtId="2" fontId="9" fillId="0" borderId="9" xfId="0" applyNumberFormat="1" applyFont="1" applyBorder="1" applyAlignment="1" applyProtection="1">
      <alignment horizontal="right" vertical="center" wrapText="1"/>
      <protection locked="0"/>
    </xf>
    <xf numFmtId="2" fontId="9" fillId="19" borderId="2" xfId="0" applyNumberFormat="1" applyFont="1" applyFill="1" applyBorder="1" applyAlignment="1" applyProtection="1">
      <alignment horizontal="right" vertical="center" wrapText="1"/>
      <protection locked="0"/>
    </xf>
    <xf numFmtId="2" fontId="9" fillId="19" borderId="3" xfId="0" applyNumberFormat="1" applyFont="1" applyFill="1" applyBorder="1" applyAlignment="1" applyProtection="1">
      <alignment horizontal="right" vertical="center" wrapText="1"/>
      <protection locked="0"/>
    </xf>
    <xf numFmtId="2" fontId="9" fillId="19" borderId="21" xfId="0" applyNumberFormat="1" applyFont="1" applyFill="1" applyBorder="1" applyAlignment="1" applyProtection="1">
      <alignment horizontal="right" vertical="center" wrapText="1"/>
      <protection locked="0"/>
    </xf>
    <xf numFmtId="2" fontId="0" fillId="13" borderId="2" xfId="0" applyNumberFormat="1" applyFill="1" applyBorder="1" applyAlignment="1" applyProtection="1">
      <alignment horizontal="right" vertical="center" wrapText="1"/>
      <protection locked="0"/>
    </xf>
    <xf numFmtId="2" fontId="0" fillId="13" borderId="3" xfId="0" applyNumberFormat="1" applyFill="1" applyBorder="1" applyAlignment="1" applyProtection="1">
      <alignment horizontal="right" vertical="center" wrapText="1"/>
      <protection locked="0"/>
    </xf>
    <xf numFmtId="2" fontId="0" fillId="13" borderId="21" xfId="0" applyNumberFormat="1" applyFill="1" applyBorder="1" applyAlignment="1" applyProtection="1">
      <alignment horizontal="right" vertical="center" wrapText="1"/>
      <protection locked="0"/>
    </xf>
    <xf numFmtId="2" fontId="0" fillId="13" borderId="37" xfId="0" applyNumberFormat="1" applyFill="1" applyBorder="1" applyAlignment="1" applyProtection="1">
      <alignment horizontal="right" vertical="center" wrapText="1"/>
      <protection locked="0"/>
    </xf>
    <xf numFmtId="2" fontId="0" fillId="13" borderId="27" xfId="0" applyNumberFormat="1" applyFill="1" applyBorder="1" applyAlignment="1" applyProtection="1">
      <alignment horizontal="right" vertical="center" wrapText="1"/>
      <protection locked="0"/>
    </xf>
    <xf numFmtId="2" fontId="0" fillId="13" borderId="36" xfId="0" applyNumberFormat="1" applyFill="1" applyBorder="1" applyAlignment="1" applyProtection="1">
      <alignment horizontal="right" vertical="center" wrapText="1"/>
      <protection locked="0"/>
    </xf>
    <xf numFmtId="0" fontId="9" fillId="8" borderId="1" xfId="0" applyFont="1" applyFill="1" applyBorder="1" applyAlignment="1">
      <alignment horizontal="center" vertical="center" wrapText="1"/>
    </xf>
    <xf numFmtId="0" fontId="9" fillId="8" borderId="11" xfId="0" applyFont="1" applyFill="1" applyBorder="1" applyAlignment="1">
      <alignment horizontal="center" vertical="center" wrapText="1"/>
    </xf>
    <xf numFmtId="2" fontId="0" fillId="0" borderId="1" xfId="0" applyNumberFormat="1" applyBorder="1" applyAlignment="1" applyProtection="1">
      <alignment horizontal="right" vertical="center" wrapText="1"/>
      <protection locked="0"/>
    </xf>
    <xf numFmtId="2" fontId="0" fillId="0" borderId="11" xfId="0" applyNumberFormat="1" applyBorder="1" applyAlignment="1" applyProtection="1">
      <alignment horizontal="right" vertical="center" wrapText="1"/>
      <protection locked="0"/>
    </xf>
    <xf numFmtId="0" fontId="2" fillId="7" borderId="25" xfId="0" applyFont="1" applyFill="1" applyBorder="1" applyAlignment="1">
      <alignment horizontal="center" vertical="center"/>
    </xf>
    <xf numFmtId="0" fontId="6" fillId="0" borderId="53" xfId="3" applyFill="1" applyBorder="1" applyAlignment="1" applyProtection="1">
      <alignment horizontal="center" vertical="center" wrapText="1"/>
    </xf>
    <xf numFmtId="0" fontId="6" fillId="0" borderId="40" xfId="3" applyFill="1" applyBorder="1" applyAlignment="1" applyProtection="1">
      <alignment horizontal="center" vertical="center" wrapText="1"/>
    </xf>
    <xf numFmtId="2" fontId="0" fillId="19" borderId="73" xfId="0" applyNumberFormat="1" applyFill="1" applyBorder="1" applyAlignment="1" applyProtection="1">
      <alignment horizontal="right" vertical="center" wrapText="1"/>
      <protection locked="0"/>
    </xf>
    <xf numFmtId="2" fontId="0" fillId="19" borderId="16" xfId="0" applyNumberFormat="1" applyFill="1" applyBorder="1" applyAlignment="1" applyProtection="1">
      <alignment horizontal="right" vertical="center" wrapText="1"/>
      <protection locked="0"/>
    </xf>
    <xf numFmtId="2" fontId="0" fillId="19" borderId="17" xfId="0" applyNumberFormat="1" applyFill="1" applyBorder="1" applyAlignment="1" applyProtection="1">
      <alignment horizontal="right" vertical="center" wrapText="1"/>
      <protection locked="0"/>
    </xf>
    <xf numFmtId="10" fontId="0" fillId="13" borderId="37" xfId="0" applyNumberFormat="1" applyFill="1" applyBorder="1" applyAlignment="1" applyProtection="1">
      <alignment horizontal="right" vertical="center"/>
      <protection locked="0"/>
    </xf>
    <xf numFmtId="10" fontId="0" fillId="13" borderId="27" xfId="0" applyNumberFormat="1" applyFill="1" applyBorder="1" applyAlignment="1" applyProtection="1">
      <alignment horizontal="right" vertical="center"/>
      <protection locked="0"/>
    </xf>
    <xf numFmtId="10" fontId="0" fillId="13" borderId="36" xfId="0" applyNumberFormat="1" applyFill="1" applyBorder="1" applyAlignment="1" applyProtection="1">
      <alignment horizontal="right" vertical="center"/>
      <protection locked="0"/>
    </xf>
    <xf numFmtId="2" fontId="0" fillId="6" borderId="43" xfId="0" applyNumberFormat="1" applyFill="1" applyBorder="1" applyAlignment="1" applyProtection="1">
      <alignment horizontal="right" vertical="center" wrapText="1"/>
      <protection locked="0"/>
    </xf>
    <xf numFmtId="2" fontId="0" fillId="6" borderId="41" xfId="0" applyNumberFormat="1" applyFill="1" applyBorder="1" applyAlignment="1" applyProtection="1">
      <alignment horizontal="right" vertical="center" wrapText="1"/>
      <protection locked="0"/>
    </xf>
    <xf numFmtId="2" fontId="0" fillId="6" borderId="56" xfId="0" applyNumberFormat="1" applyFill="1" applyBorder="1" applyAlignment="1" applyProtection="1">
      <alignment horizontal="right" vertical="center" wrapText="1"/>
      <protection locked="0"/>
    </xf>
    <xf numFmtId="2" fontId="0" fillId="6" borderId="37" xfId="0" applyNumberFormat="1" applyFill="1" applyBorder="1" applyAlignment="1" applyProtection="1">
      <alignment horizontal="right" vertical="center" wrapText="1"/>
      <protection locked="0"/>
    </xf>
    <xf numFmtId="2" fontId="0" fillId="6" borderId="27" xfId="0" applyNumberFormat="1" applyFill="1" applyBorder="1" applyAlignment="1" applyProtection="1">
      <alignment horizontal="right" vertical="center" wrapText="1"/>
      <protection locked="0"/>
    </xf>
    <xf numFmtId="2" fontId="0" fillId="6" borderId="36" xfId="0" applyNumberFormat="1" applyFill="1" applyBorder="1" applyAlignment="1" applyProtection="1">
      <alignment horizontal="right" vertical="center" wrapText="1"/>
      <protection locked="0"/>
    </xf>
    <xf numFmtId="0" fontId="2" fillId="4" borderId="7" xfId="0" applyFont="1" applyFill="1" applyBorder="1" applyAlignment="1">
      <alignment horizontal="center" wrapText="1"/>
    </xf>
    <xf numFmtId="0" fontId="2" fillId="4" borderId="8" xfId="0" applyFont="1" applyFill="1" applyBorder="1" applyAlignment="1">
      <alignment horizontal="center" wrapText="1"/>
    </xf>
    <xf numFmtId="0" fontId="2" fillId="4" borderId="9" xfId="0" applyFont="1" applyFill="1" applyBorder="1" applyAlignment="1">
      <alignment horizontal="center" wrapText="1"/>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4" fillId="7" borderId="68" xfId="0" applyFont="1" applyFill="1" applyBorder="1" applyAlignment="1">
      <alignment horizontal="center"/>
    </xf>
    <xf numFmtId="0" fontId="4" fillId="7" borderId="69" xfId="0" applyFont="1" applyFill="1" applyBorder="1" applyAlignment="1">
      <alignment horizontal="center"/>
    </xf>
    <xf numFmtId="0" fontId="4" fillId="7" borderId="70" xfId="0" applyFont="1" applyFill="1" applyBorder="1" applyAlignment="1">
      <alignment horizontal="center"/>
    </xf>
    <xf numFmtId="0" fontId="0" fillId="6" borderId="3"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6" borderId="2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19" borderId="10" xfId="0" applyFont="1" applyFill="1" applyBorder="1" applyAlignment="1">
      <alignment horizontal="center" vertical="center" wrapText="1"/>
    </xf>
    <xf numFmtId="0" fontId="4" fillId="19" borderId="3" xfId="0" applyFont="1" applyFill="1" applyBorder="1" applyAlignment="1">
      <alignment horizontal="center" vertical="center" wrapText="1"/>
    </xf>
    <xf numFmtId="0" fontId="4" fillId="19" borderId="21" xfId="0" applyFont="1" applyFill="1" applyBorder="1" applyAlignment="1">
      <alignment horizontal="center" vertical="center" wrapText="1"/>
    </xf>
    <xf numFmtId="2" fontId="0" fillId="13" borderId="45" xfId="0" applyNumberFormat="1" applyFill="1" applyBorder="1" applyAlignment="1">
      <alignment horizontal="right" wrapText="1"/>
    </xf>
    <xf numFmtId="2" fontId="0" fillId="13" borderId="22" xfId="0" applyNumberFormat="1" applyFill="1" applyBorder="1" applyAlignment="1">
      <alignment horizontal="right" wrapText="1"/>
    </xf>
    <xf numFmtId="2" fontId="0" fillId="13" borderId="23" xfId="0" applyNumberFormat="1" applyFill="1" applyBorder="1" applyAlignment="1">
      <alignment horizontal="right" wrapText="1"/>
    </xf>
    <xf numFmtId="0" fontId="2" fillId="4" borderId="38" xfId="0" applyFont="1" applyFill="1" applyBorder="1" applyAlignment="1">
      <alignment horizontal="center" wrapText="1"/>
    </xf>
    <xf numFmtId="0" fontId="2" fillId="4" borderId="65" xfId="0" applyFont="1" applyFill="1" applyBorder="1" applyAlignment="1">
      <alignment horizontal="center" wrapText="1"/>
    </xf>
    <xf numFmtId="0" fontId="2" fillId="4" borderId="42" xfId="0" applyFont="1" applyFill="1" applyBorder="1" applyAlignment="1">
      <alignment horizontal="center" wrapText="1"/>
    </xf>
    <xf numFmtId="2" fontId="0" fillId="13" borderId="37" xfId="0" applyNumberFormat="1" applyFill="1" applyBorder="1" applyAlignment="1">
      <alignment horizontal="right" vertical="center" wrapText="1"/>
    </xf>
    <xf numFmtId="2" fontId="0" fillId="13" borderId="27" xfId="0" applyNumberFormat="1" applyFill="1" applyBorder="1" applyAlignment="1">
      <alignment horizontal="right" vertical="center" wrapText="1"/>
    </xf>
    <xf numFmtId="2" fontId="0" fillId="13" borderId="36" xfId="0" applyNumberFormat="1" applyFill="1" applyBorder="1" applyAlignment="1">
      <alignment horizontal="right" vertical="center" wrapText="1"/>
    </xf>
    <xf numFmtId="0" fontId="0" fillId="6" borderId="5" xfId="0" applyFill="1" applyBorder="1" applyAlignment="1" applyProtection="1">
      <alignment horizontal="left" vertical="top"/>
      <protection locked="0"/>
    </xf>
    <xf numFmtId="0" fontId="0" fillId="6" borderId="47" xfId="0" applyFill="1" applyBorder="1" applyAlignment="1" applyProtection="1">
      <alignment horizontal="left" vertical="top"/>
      <protection locked="0"/>
    </xf>
    <xf numFmtId="0" fontId="0" fillId="0" borderId="37"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6" borderId="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6" borderId="1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6" borderId="2"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6" borderId="2" xfId="0" applyFill="1" applyBorder="1" applyAlignment="1" applyProtection="1">
      <alignment horizontal="left" vertical="center"/>
      <protection locked="0"/>
    </xf>
    <xf numFmtId="0" fontId="0" fillId="6" borderId="3" xfId="0" applyFill="1" applyBorder="1" applyAlignment="1" applyProtection="1">
      <alignment horizontal="left" vertical="center"/>
      <protection locked="0"/>
    </xf>
    <xf numFmtId="0" fontId="0" fillId="6" borderId="21" xfId="0" applyFill="1" applyBorder="1" applyAlignment="1" applyProtection="1">
      <alignment horizontal="left" vertical="center"/>
      <protection locked="0"/>
    </xf>
    <xf numFmtId="0" fontId="0" fillId="6" borderId="27" xfId="0" applyFill="1" applyBorder="1" applyAlignment="1" applyProtection="1">
      <alignment horizontal="left" vertical="top"/>
      <protection locked="0"/>
    </xf>
    <xf numFmtId="0" fontId="0" fillId="6" borderId="36" xfId="0" applyFill="1" applyBorder="1" applyAlignment="1" applyProtection="1">
      <alignment horizontal="left" vertical="top"/>
      <protection locked="0"/>
    </xf>
    <xf numFmtId="0" fontId="0" fillId="0" borderId="36" xfId="0" applyBorder="1" applyAlignment="1" applyProtection="1">
      <alignment horizontal="left" vertical="top" wrapText="1"/>
      <protection locked="0"/>
    </xf>
    <xf numFmtId="0" fontId="0" fillId="6" borderId="1" xfId="0" applyFill="1" applyBorder="1" applyAlignment="1" applyProtection="1">
      <alignment horizontal="left" vertical="top"/>
      <protection locked="0"/>
    </xf>
    <xf numFmtId="0" fontId="0" fillId="6" borderId="11" xfId="0" applyFill="1" applyBorder="1" applyAlignment="1" applyProtection="1">
      <alignment horizontal="left" vertical="top"/>
      <protection locked="0"/>
    </xf>
    <xf numFmtId="0" fontId="6" fillId="0" borderId="5" xfId="3" applyFill="1" applyBorder="1" applyAlignment="1">
      <alignment horizontal="center" vertical="center" wrapText="1"/>
    </xf>
    <xf numFmtId="0" fontId="6" fillId="0" borderId="0" xfId="3" applyFill="1" applyBorder="1" applyAlignment="1">
      <alignment horizontal="center" vertical="center" wrapText="1"/>
    </xf>
    <xf numFmtId="0" fontId="6" fillId="0" borderId="41" xfId="3" applyFill="1" applyBorder="1" applyAlignment="1">
      <alignment horizontal="center" vertical="center" wrapText="1"/>
    </xf>
    <xf numFmtId="0" fontId="6" fillId="0" borderId="51" xfId="3" applyFill="1" applyBorder="1" applyAlignment="1">
      <alignment horizontal="center" vertical="center" wrapText="1"/>
    </xf>
    <xf numFmtId="0" fontId="6" fillId="0" borderId="85" xfId="3" applyFill="1" applyBorder="1" applyAlignment="1">
      <alignment horizontal="center" vertical="center" wrapText="1"/>
    </xf>
    <xf numFmtId="0" fontId="6" fillId="0" borderId="44" xfId="3" applyFill="1" applyBorder="1" applyAlignment="1">
      <alignment horizontal="center" vertical="center" wrapText="1"/>
    </xf>
    <xf numFmtId="0" fontId="2" fillId="7" borderId="19" xfId="0" applyFont="1" applyFill="1" applyBorder="1" applyAlignment="1">
      <alignment horizontal="left" vertical="center" wrapText="1"/>
    </xf>
    <xf numFmtId="0" fontId="2" fillId="7" borderId="20" xfId="0" applyFont="1" applyFill="1" applyBorder="1" applyAlignment="1">
      <alignment horizontal="left" vertical="center" wrapText="1"/>
    </xf>
    <xf numFmtId="0" fontId="4" fillId="19" borderId="18" xfId="0" applyFont="1" applyFill="1" applyBorder="1" applyAlignment="1">
      <alignment horizontal="left" vertical="center" wrapText="1"/>
    </xf>
    <xf numFmtId="0" fontId="4" fillId="19" borderId="1" xfId="0" applyFont="1" applyFill="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7" borderId="0" xfId="0" applyFont="1" applyFill="1" applyAlignment="1">
      <alignment horizontal="center"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6" fillId="0" borderId="52" xfId="3" applyFill="1" applyBorder="1" applyAlignment="1">
      <alignment horizontal="center" vertical="center"/>
    </xf>
    <xf numFmtId="0" fontId="6" fillId="0" borderId="5" xfId="3" applyFill="1" applyBorder="1" applyAlignment="1">
      <alignment horizontal="center" vertical="center"/>
    </xf>
    <xf numFmtId="0" fontId="6" fillId="0" borderId="47" xfId="3" applyFill="1" applyBorder="1" applyAlignment="1">
      <alignment horizontal="center" vertical="center"/>
    </xf>
    <xf numFmtId="0" fontId="0" fillId="19" borderId="72" xfId="0" applyFill="1" applyBorder="1" applyAlignment="1">
      <alignment horizontal="center" vertical="center" wrapText="1"/>
    </xf>
    <xf numFmtId="0" fontId="0" fillId="19" borderId="61" xfId="0" applyFill="1" applyBorder="1" applyAlignment="1">
      <alignment horizontal="center" vertical="center" wrapText="1"/>
    </xf>
    <xf numFmtId="0" fontId="0" fillId="19" borderId="79" xfId="0" applyFill="1" applyBorder="1" applyAlignment="1">
      <alignment horizontal="center" vertical="center" wrapText="1"/>
    </xf>
    <xf numFmtId="0" fontId="0" fillId="7" borderId="45" xfId="0" applyFill="1" applyBorder="1" applyAlignment="1">
      <alignment horizontal="left" vertical="center" wrapText="1"/>
    </xf>
    <xf numFmtId="0" fontId="0" fillId="7" borderId="22" xfId="0" applyFill="1" applyBorder="1" applyAlignment="1">
      <alignment horizontal="left" vertical="center" wrapText="1"/>
    </xf>
    <xf numFmtId="0" fontId="0" fillId="7" borderId="60" xfId="0" applyFill="1" applyBorder="1" applyAlignment="1">
      <alignment horizontal="left" vertical="center" wrapText="1"/>
    </xf>
    <xf numFmtId="0" fontId="2" fillId="4" borderId="29" xfId="0" applyFont="1" applyFill="1" applyBorder="1" applyAlignment="1">
      <alignment horizontal="center"/>
    </xf>
    <xf numFmtId="0" fontId="2" fillId="4" borderId="31" xfId="0" applyFont="1" applyFill="1" applyBorder="1" applyAlignment="1">
      <alignment horizontal="center"/>
    </xf>
    <xf numFmtId="0" fontId="2" fillId="4" borderId="7" xfId="0" applyFont="1" applyFill="1" applyBorder="1" applyAlignment="1">
      <alignment horizontal="center"/>
    </xf>
    <xf numFmtId="0" fontId="2" fillId="4" borderId="8" xfId="0" applyFont="1" applyFill="1" applyBorder="1" applyAlignment="1">
      <alignment horizontal="center"/>
    </xf>
    <xf numFmtId="0" fontId="2" fillId="4" borderId="9" xfId="0" applyFont="1" applyFill="1" applyBorder="1" applyAlignment="1">
      <alignment horizontal="center"/>
    </xf>
    <xf numFmtId="0" fontId="6" fillId="0" borderId="10" xfId="3" applyFill="1" applyBorder="1" applyAlignment="1">
      <alignment horizontal="center" vertical="center"/>
    </xf>
    <xf numFmtId="0" fontId="6" fillId="0" borderId="3" xfId="3" applyFill="1" applyBorder="1" applyAlignment="1">
      <alignment horizontal="center" vertical="center"/>
    </xf>
    <xf numFmtId="0" fontId="6" fillId="0" borderId="21" xfId="3" applyFill="1" applyBorder="1" applyAlignment="1">
      <alignment horizontal="center" vertical="center"/>
    </xf>
    <xf numFmtId="0" fontId="6" fillId="0" borderId="52" xfId="3" applyFill="1" applyBorder="1" applyAlignment="1">
      <alignment horizontal="center" vertical="center" wrapText="1"/>
    </xf>
    <xf numFmtId="0" fontId="6" fillId="0" borderId="47" xfId="3" applyFill="1" applyBorder="1" applyAlignment="1">
      <alignment horizontal="center" vertical="center" wrapText="1"/>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2" fillId="0" borderId="21" xfId="0" applyFont="1" applyBorder="1" applyAlignment="1">
      <alignment horizontal="left" vertical="center"/>
    </xf>
    <xf numFmtId="0" fontId="0" fillId="0" borderId="57" xfId="0" applyBorder="1" applyAlignment="1">
      <alignment horizontal="left" vertical="center" wrapText="1"/>
    </xf>
    <xf numFmtId="0" fontId="4" fillId="7" borderId="80" xfId="0" applyFont="1" applyFill="1" applyBorder="1" applyAlignment="1">
      <alignment horizontal="center"/>
    </xf>
    <xf numFmtId="0" fontId="4" fillId="7" borderId="84" xfId="0" applyFont="1" applyFill="1" applyBorder="1" applyAlignment="1">
      <alignment horizontal="center"/>
    </xf>
    <xf numFmtId="0" fontId="0" fillId="19" borderId="25" xfId="0" applyFill="1" applyBorder="1" applyAlignment="1">
      <alignment horizontal="left" vertical="center" wrapText="1" indent="2"/>
    </xf>
    <xf numFmtId="0" fontId="0" fillId="19" borderId="0" xfId="0" applyFill="1" applyAlignment="1">
      <alignment horizontal="left" vertical="center" wrapText="1" indent="2"/>
    </xf>
    <xf numFmtId="0" fontId="0" fillId="19" borderId="54" xfId="0" applyFill="1" applyBorder="1" applyAlignment="1">
      <alignment horizontal="left" vertical="center" wrapText="1" indent="2"/>
    </xf>
    <xf numFmtId="0" fontId="0" fillId="19" borderId="52" xfId="0" applyFill="1" applyBorder="1" applyAlignment="1">
      <alignment horizontal="left" vertical="center" wrapText="1" indent="2"/>
    </xf>
    <xf numFmtId="0" fontId="0" fillId="19" borderId="5" xfId="0" applyFill="1" applyBorder="1" applyAlignment="1">
      <alignment horizontal="left" vertical="center" wrapText="1" indent="2"/>
    </xf>
    <xf numFmtId="0" fontId="0" fillId="19" borderId="53" xfId="0" applyFill="1" applyBorder="1" applyAlignment="1">
      <alignment horizontal="left" vertical="center" wrapText="1" indent="2"/>
    </xf>
    <xf numFmtId="0" fontId="0" fillId="19" borderId="10" xfId="0" applyFill="1" applyBorder="1" applyAlignment="1">
      <alignment horizontal="left" vertical="center" wrapText="1" indent="2"/>
    </xf>
    <xf numFmtId="0" fontId="0" fillId="19" borderId="3" xfId="0" applyFill="1" applyBorder="1" applyAlignment="1">
      <alignment horizontal="left" vertical="center" wrapText="1" indent="2"/>
    </xf>
    <xf numFmtId="0" fontId="0" fillId="19" borderId="4" xfId="0" applyFill="1" applyBorder="1" applyAlignment="1">
      <alignment horizontal="left" vertical="center" wrapText="1" indent="2"/>
    </xf>
    <xf numFmtId="0" fontId="0" fillId="19" borderId="45" xfId="0" applyFill="1" applyBorder="1" applyAlignment="1">
      <alignment horizontal="left" vertical="center" wrapText="1" indent="2"/>
    </xf>
    <xf numFmtId="0" fontId="0" fillId="19" borderId="22" xfId="0" applyFill="1" applyBorder="1" applyAlignment="1">
      <alignment horizontal="left" vertical="center" wrapText="1" indent="2"/>
    </xf>
    <xf numFmtId="0" fontId="0" fillId="19" borderId="60" xfId="0" applyFill="1" applyBorder="1" applyAlignment="1">
      <alignment horizontal="left" vertical="center" wrapText="1" indent="2"/>
    </xf>
    <xf numFmtId="0" fontId="0" fillId="7" borderId="49" xfId="0" applyFill="1" applyBorder="1" applyAlignment="1">
      <alignment horizontal="left" vertical="center" wrapText="1"/>
    </xf>
    <xf numFmtId="0" fontId="0" fillId="7" borderId="41" xfId="0" applyFill="1" applyBorder="1" applyAlignment="1">
      <alignment horizontal="left" vertical="center" wrapText="1"/>
    </xf>
    <xf numFmtId="0" fontId="0" fillId="7" borderId="40" xfId="0" applyFill="1" applyBorder="1" applyAlignment="1">
      <alignment horizontal="left" vertical="center" wrapText="1"/>
    </xf>
    <xf numFmtId="0" fontId="0" fillId="7" borderId="12" xfId="0" applyFill="1" applyBorder="1" applyAlignment="1">
      <alignment horizontal="left" vertical="center" wrapText="1"/>
    </xf>
    <xf numFmtId="0" fontId="0" fillId="7" borderId="27" xfId="0" applyFill="1" applyBorder="1" applyAlignment="1">
      <alignment horizontal="left" vertical="center" wrapText="1"/>
    </xf>
    <xf numFmtId="0" fontId="0" fillId="7" borderId="13" xfId="0" applyFill="1" applyBorder="1" applyAlignment="1">
      <alignment horizontal="left" vertical="center" wrapText="1"/>
    </xf>
    <xf numFmtId="0" fontId="32" fillId="7" borderId="0" xfId="0" applyFont="1" applyFill="1" applyAlignment="1">
      <alignment horizontal="left" wrapText="1"/>
    </xf>
    <xf numFmtId="0" fontId="0" fillId="7" borderId="0" xfId="0" applyFill="1"/>
    <xf numFmtId="0" fontId="36" fillId="7" borderId="0" xfId="0" applyFont="1" applyFill="1"/>
    <xf numFmtId="0" fontId="2" fillId="0" borderId="79" xfId="0" applyFont="1" applyBorder="1" applyAlignment="1">
      <alignment horizontal="center"/>
    </xf>
    <xf numFmtId="0" fontId="2" fillId="0" borderId="35" xfId="0" applyFont="1" applyBorder="1" applyAlignment="1">
      <alignment horizontal="center"/>
    </xf>
    <xf numFmtId="166" fontId="2" fillId="13" borderId="79" xfId="2" quotePrefix="1" applyNumberFormat="1" applyFont="1" applyFill="1" applyBorder="1" applyAlignment="1">
      <alignment horizontal="center" vertical="center"/>
    </xf>
    <xf numFmtId="166" fontId="2" fillId="13" borderId="35" xfId="2" applyNumberFormat="1" applyFont="1" applyFill="1" applyBorder="1" applyAlignment="1">
      <alignment horizontal="center" vertical="center"/>
    </xf>
    <xf numFmtId="0" fontId="0" fillId="22" borderId="28" xfId="0" applyFill="1" applyBorder="1" applyAlignment="1">
      <alignment horizontal="center" vertical="center"/>
    </xf>
    <xf numFmtId="0" fontId="0" fillId="22" borderId="29" xfId="0" applyFill="1" applyBorder="1" applyAlignment="1">
      <alignment horizontal="center" vertical="center"/>
    </xf>
    <xf numFmtId="0" fontId="0" fillId="22" borderId="31" xfId="0" applyFill="1" applyBorder="1" applyAlignment="1">
      <alignment horizontal="center" vertical="center"/>
    </xf>
    <xf numFmtId="0" fontId="0" fillId="22" borderId="45" xfId="0" applyFill="1" applyBorder="1" applyAlignment="1">
      <alignment horizontal="center" vertical="center"/>
    </xf>
    <xf numFmtId="0" fontId="0" fillId="22" borderId="22" xfId="0" applyFill="1" applyBorder="1" applyAlignment="1">
      <alignment horizontal="center" vertical="center"/>
    </xf>
    <xf numFmtId="0" fontId="0" fillId="22" borderId="23" xfId="0" applyFill="1" applyBorder="1" applyAlignment="1">
      <alignment horizontal="center" vertical="center"/>
    </xf>
    <xf numFmtId="0" fontId="0" fillId="22" borderId="28"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22" borderId="29"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22" borderId="3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22" borderId="45"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22" borderId="22"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22" borderId="23"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8" fillId="0" borderId="33" xfId="0" applyFont="1" applyBorder="1" applyAlignment="1">
      <alignment horizontal="left" vertical="center" wrapText="1"/>
    </xf>
    <xf numFmtId="0" fontId="18" fillId="0" borderId="34" xfId="0" applyFont="1" applyBorder="1" applyAlignment="1">
      <alignment horizontal="left" vertical="center" wrapText="1"/>
    </xf>
    <xf numFmtId="0" fontId="18" fillId="0" borderId="35" xfId="0" applyFont="1" applyBorder="1" applyAlignment="1">
      <alignment horizontal="left" vertical="center" wrapText="1"/>
    </xf>
    <xf numFmtId="0" fontId="0" fillId="7" borderId="52" xfId="0" quotePrefix="1" applyFill="1" applyBorder="1" applyAlignment="1">
      <alignment horizontal="left"/>
    </xf>
    <xf numFmtId="0" fontId="0" fillId="7" borderId="5" xfId="0" quotePrefix="1" applyFill="1" applyBorder="1" applyAlignment="1">
      <alignment horizontal="left"/>
    </xf>
    <xf numFmtId="0" fontId="0" fillId="7" borderId="47" xfId="0" quotePrefix="1" applyFill="1" applyBorder="1" applyAlignment="1">
      <alignment horizontal="left"/>
    </xf>
    <xf numFmtId="0" fontId="6" fillId="7" borderId="49" xfId="3" quotePrefix="1" applyFill="1" applyBorder="1" applyAlignment="1" applyProtection="1">
      <alignment horizontal="left"/>
    </xf>
    <xf numFmtId="0" fontId="0" fillId="7" borderId="41" xfId="0" quotePrefix="1" applyFill="1" applyBorder="1" applyAlignment="1">
      <alignment horizontal="left"/>
    </xf>
    <xf numFmtId="0" fontId="0" fillId="7" borderId="56" xfId="0" quotePrefix="1" applyFill="1" applyBorder="1" applyAlignment="1">
      <alignment horizontal="left"/>
    </xf>
    <xf numFmtId="0" fontId="0" fillId="7" borderId="25" xfId="0" quotePrefix="1" applyFill="1" applyBorder="1" applyAlignment="1">
      <alignment horizontal="left"/>
    </xf>
    <xf numFmtId="0" fontId="0" fillId="7" borderId="0" xfId="0" quotePrefix="1" applyFill="1" applyAlignment="1">
      <alignment horizontal="left"/>
    </xf>
    <xf numFmtId="0" fontId="0" fillId="7" borderId="26" xfId="0" quotePrefix="1" applyFill="1" applyBorder="1" applyAlignment="1">
      <alignment horizontal="left"/>
    </xf>
    <xf numFmtId="0" fontId="6" fillId="7" borderId="45" xfId="3" quotePrefix="1" applyFill="1" applyBorder="1" applyAlignment="1" applyProtection="1">
      <alignment horizontal="left"/>
    </xf>
    <xf numFmtId="0" fontId="0" fillId="7" borderId="22" xfId="0" quotePrefix="1" applyFill="1" applyBorder="1" applyAlignment="1">
      <alignment horizontal="left"/>
    </xf>
    <xf numFmtId="0" fontId="0" fillId="7" borderId="23" xfId="0" quotePrefix="1" applyFill="1" applyBorder="1" applyAlignment="1">
      <alignment horizontal="left"/>
    </xf>
    <xf numFmtId="0" fontId="6" fillId="7" borderId="25" xfId="3" quotePrefix="1" applyFill="1" applyBorder="1" applyAlignment="1" applyProtection="1">
      <alignment horizontal="left" wrapText="1"/>
    </xf>
    <xf numFmtId="0" fontId="6" fillId="7" borderId="49" xfId="3" quotePrefix="1" applyFill="1" applyBorder="1" applyAlignment="1" applyProtection="1">
      <alignment horizontal="left" wrapText="1"/>
    </xf>
    <xf numFmtId="0" fontId="6" fillId="7" borderId="41" xfId="3" quotePrefix="1" applyFill="1" applyBorder="1" applyAlignment="1" applyProtection="1">
      <alignment horizontal="left" wrapText="1"/>
    </xf>
    <xf numFmtId="0" fontId="6" fillId="7" borderId="56" xfId="3" quotePrefix="1" applyFill="1" applyBorder="1" applyAlignment="1" applyProtection="1">
      <alignment horizontal="left" wrapText="1"/>
    </xf>
    <xf numFmtId="0" fontId="0" fillId="7" borderId="52" xfId="0" quotePrefix="1" applyFill="1" applyBorder="1" applyAlignment="1">
      <alignment horizontal="left" wrapText="1"/>
    </xf>
    <xf numFmtId="0" fontId="0" fillId="7" borderId="5" xfId="0" quotePrefix="1" applyFill="1" applyBorder="1" applyAlignment="1">
      <alignment horizontal="left" wrapText="1"/>
    </xf>
    <xf numFmtId="0" fontId="0" fillId="7" borderId="47" xfId="0" quotePrefix="1" applyFill="1" applyBorder="1" applyAlignment="1">
      <alignment horizontal="left" wrapText="1"/>
    </xf>
    <xf numFmtId="0" fontId="6" fillId="7" borderId="41" xfId="3" quotePrefix="1" applyFill="1" applyBorder="1" applyAlignment="1" applyProtection="1">
      <alignment horizontal="left"/>
    </xf>
    <xf numFmtId="0" fontId="6" fillId="7" borderId="56" xfId="3" quotePrefix="1" applyFill="1" applyBorder="1" applyAlignment="1" applyProtection="1">
      <alignment horizontal="left"/>
    </xf>
    <xf numFmtId="2" fontId="2" fillId="0" borderId="25" xfId="0" applyNumberFormat="1" applyFont="1" applyBorder="1" applyAlignment="1">
      <alignment horizontal="left"/>
    </xf>
    <xf numFmtId="2" fontId="2" fillId="0" borderId="0" xfId="0" applyNumberFormat="1" applyFont="1" applyAlignment="1">
      <alignment horizontal="left"/>
    </xf>
    <xf numFmtId="2" fontId="2" fillId="0" borderId="26" xfId="0" applyNumberFormat="1" applyFont="1" applyBorder="1" applyAlignment="1">
      <alignment horizontal="left"/>
    </xf>
    <xf numFmtId="2" fontId="2" fillId="0" borderId="15" xfId="0" applyNumberFormat="1" applyFont="1" applyBorder="1" applyAlignment="1">
      <alignment horizontal="left" vertical="top"/>
    </xf>
    <xf numFmtId="2" fontId="2" fillId="0" borderId="16" xfId="0" applyNumberFormat="1" applyFont="1" applyBorder="1" applyAlignment="1">
      <alignment horizontal="left" vertical="top"/>
    </xf>
    <xf numFmtId="2" fontId="2" fillId="0" borderId="17" xfId="0" applyNumberFormat="1" applyFont="1" applyBorder="1" applyAlignment="1">
      <alignment horizontal="left" vertical="top"/>
    </xf>
    <xf numFmtId="2" fontId="0" fillId="7" borderId="25" xfId="0" quotePrefix="1" applyNumberFormat="1" applyFill="1" applyBorder="1" applyAlignment="1">
      <alignment horizontal="left" wrapText="1"/>
    </xf>
    <xf numFmtId="2" fontId="0" fillId="7" borderId="0" xfId="0" quotePrefix="1" applyNumberFormat="1" applyFill="1" applyAlignment="1">
      <alignment horizontal="left" wrapText="1"/>
    </xf>
    <xf numFmtId="2" fontId="0" fillId="7" borderId="26" xfId="0" quotePrefix="1" applyNumberFormat="1" applyFill="1" applyBorder="1" applyAlignment="1">
      <alignment horizontal="left" wrapText="1"/>
    </xf>
    <xf numFmtId="2" fontId="6" fillId="7" borderId="49" xfId="3" quotePrefix="1" applyNumberFormat="1" applyFill="1" applyBorder="1" applyAlignment="1" applyProtection="1">
      <alignment horizontal="left" wrapText="1"/>
    </xf>
    <xf numFmtId="2" fontId="6" fillId="7" borderId="41" xfId="3" quotePrefix="1" applyNumberFormat="1" applyFill="1" applyBorder="1" applyAlignment="1" applyProtection="1">
      <alignment horizontal="left" wrapText="1"/>
    </xf>
    <xf numFmtId="2" fontId="6" fillId="7" borderId="56" xfId="3" quotePrefix="1" applyNumberFormat="1" applyFill="1" applyBorder="1" applyAlignment="1" applyProtection="1">
      <alignment horizontal="left" wrapText="1"/>
    </xf>
    <xf numFmtId="0" fontId="6" fillId="7" borderId="0" xfId="3" quotePrefix="1" applyFill="1" applyBorder="1" applyAlignment="1" applyProtection="1">
      <alignment horizontal="left" wrapText="1"/>
    </xf>
    <xf numFmtId="0" fontId="6" fillId="7" borderId="26" xfId="3" quotePrefix="1" applyFill="1" applyBorder="1" applyAlignment="1" applyProtection="1">
      <alignment horizontal="left" wrapText="1"/>
    </xf>
    <xf numFmtId="0" fontId="9" fillId="7" borderId="52" xfId="3" quotePrefix="1" applyFont="1" applyFill="1" applyBorder="1" applyAlignment="1" applyProtection="1">
      <alignment horizontal="left"/>
    </xf>
    <xf numFmtId="0" fontId="9" fillId="7" borderId="5" xfId="3" quotePrefix="1" applyFont="1" applyFill="1" applyBorder="1" applyAlignment="1" applyProtection="1">
      <alignment horizontal="left"/>
    </xf>
    <xf numFmtId="0" fontId="9" fillId="7" borderId="47" xfId="3" quotePrefix="1" applyFont="1" applyFill="1" applyBorder="1" applyAlignment="1" applyProtection="1">
      <alignment horizontal="left"/>
    </xf>
    <xf numFmtId="0" fontId="6" fillId="7" borderId="25" xfId="3" quotePrefix="1" applyFill="1" applyBorder="1" applyAlignment="1" applyProtection="1">
      <alignment horizontal="left" vertical="top" wrapText="1"/>
    </xf>
    <xf numFmtId="0" fontId="6" fillId="7" borderId="0" xfId="3" quotePrefix="1" applyFill="1" applyBorder="1" applyAlignment="1" applyProtection="1">
      <alignment horizontal="left" vertical="top" wrapText="1"/>
    </xf>
    <xf numFmtId="0" fontId="6" fillId="7" borderId="26" xfId="3" quotePrefix="1" applyFill="1" applyBorder="1" applyAlignment="1" applyProtection="1">
      <alignment horizontal="left" vertical="top" wrapText="1"/>
    </xf>
    <xf numFmtId="0" fontId="0" fillId="7" borderId="25" xfId="0" quotePrefix="1" applyFill="1" applyBorder="1" applyAlignment="1">
      <alignment horizontal="left" vertical="top" wrapText="1"/>
    </xf>
    <xf numFmtId="0" fontId="0" fillId="7" borderId="0" xfId="0" quotePrefix="1" applyFill="1" applyAlignment="1">
      <alignment horizontal="left" vertical="top" wrapText="1"/>
    </xf>
    <xf numFmtId="0" fontId="0" fillId="7" borderId="26" xfId="0" quotePrefix="1" applyFill="1" applyBorder="1" applyAlignment="1">
      <alignment horizontal="left" vertical="top" wrapText="1"/>
    </xf>
    <xf numFmtId="0" fontId="2" fillId="18" borderId="33" xfId="0" applyFont="1" applyFill="1" applyBorder="1" applyAlignment="1">
      <alignment horizontal="center" vertical="center" wrapText="1"/>
    </xf>
    <xf numFmtId="0" fontId="2" fillId="18" borderId="34" xfId="0" applyFont="1" applyFill="1" applyBorder="1" applyAlignment="1">
      <alignment horizontal="center" vertical="center" wrapText="1"/>
    </xf>
    <xf numFmtId="0" fontId="2" fillId="18" borderId="35" xfId="0" applyFont="1" applyFill="1" applyBorder="1" applyAlignment="1">
      <alignment horizontal="center" vertical="center" wrapText="1"/>
    </xf>
    <xf numFmtId="0" fontId="2" fillId="7" borderId="76" xfId="0" applyFont="1" applyFill="1" applyBorder="1" applyAlignment="1">
      <alignment horizontal="center"/>
    </xf>
    <xf numFmtId="0" fontId="2" fillId="7" borderId="77" xfId="0" applyFont="1" applyFill="1" applyBorder="1" applyAlignment="1">
      <alignment horizontal="center"/>
    </xf>
    <xf numFmtId="0" fontId="2" fillId="7" borderId="78" xfId="0" applyFont="1" applyFill="1" applyBorder="1" applyAlignment="1">
      <alignment horizontal="center"/>
    </xf>
  </cellXfs>
  <cellStyles count="4">
    <cellStyle name="Auto-Calculated-Cells" xfId="2" xr:uid="{4E8529B9-507C-4B39-B503-553D51545A9E}"/>
    <cellStyle name="Hyperlink" xfId="3" builtinId="8"/>
    <cellStyle name="Normal" xfId="0" builtinId="0"/>
    <cellStyle name="Percent" xfId="1" builtinId="5"/>
  </cellStyles>
  <dxfs count="341">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fill>
        <patternFill>
          <bgColor rgb="FFFF0000"/>
        </patternFill>
      </fill>
    </dxf>
    <dxf>
      <fill>
        <patternFill>
          <bgColor rgb="FF00B050"/>
        </patternFill>
      </fill>
    </dxf>
    <dxf>
      <fill>
        <patternFill>
          <bgColor rgb="FFFF0000"/>
        </patternFill>
      </fill>
    </dxf>
    <dxf>
      <numFmt numFmtId="164" formatCode=";;;"/>
      <fill>
        <patternFill>
          <bgColor theme="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theme="0" tint="-0.14996795556505021"/>
        </patternFill>
      </fill>
    </dxf>
    <dxf>
      <fill>
        <patternFill patternType="none">
          <bgColor auto="1"/>
        </patternFill>
      </fill>
    </dxf>
    <dxf>
      <numFmt numFmtId="0" formatCode="General"/>
      <fill>
        <patternFill>
          <bgColor theme="0" tint="-0.14996795556505021"/>
        </patternFill>
      </fill>
    </dxf>
    <dxf>
      <fill>
        <patternFill>
          <bgColor theme="8" tint="0.79998168889431442"/>
        </patternFill>
      </fill>
    </dxf>
    <dxf>
      <fill>
        <patternFill>
          <bgColor theme="0" tint="-0.14996795556505021"/>
        </patternFill>
      </fill>
    </dxf>
    <dxf>
      <fill>
        <patternFill patternType="none">
          <bgColor auto="1"/>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numFmt numFmtId="0" formatCode="General"/>
      <fill>
        <patternFill>
          <bgColor theme="2" tint="-9.9948118533890809E-2"/>
        </patternFill>
      </fill>
    </dxf>
    <dxf>
      <fill>
        <patternFill patternType="none">
          <bgColor auto="1"/>
        </patternFill>
      </fill>
    </dxf>
    <dxf>
      <fill>
        <patternFill>
          <bgColor theme="0" tint="-0.14996795556505021"/>
        </patternFill>
      </fill>
    </dxf>
    <dxf>
      <numFmt numFmtId="0" formatCode="General"/>
      <fill>
        <patternFill>
          <bgColor theme="0" tint="-0.14996795556505021"/>
        </patternFill>
      </fill>
    </dxf>
    <dxf>
      <fill>
        <patternFill>
          <bgColor rgb="FFFFFF99"/>
        </patternFill>
      </fill>
    </dxf>
    <dxf>
      <fill>
        <patternFill patternType="none">
          <bgColor auto="1"/>
        </patternFill>
      </fill>
    </dxf>
    <dxf>
      <numFmt numFmtId="0" formatCode="General"/>
      <fill>
        <patternFill>
          <bgColor theme="2" tint="-9.9948118533890809E-2"/>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bgColor rgb="FFFF0000"/>
        </patternFill>
      </fill>
    </dxf>
    <dxf>
      <fill>
        <patternFill>
          <bgColor rgb="FF00B050"/>
        </patternFill>
      </fill>
    </dxf>
    <dxf>
      <fill>
        <patternFill>
          <bgColor rgb="FFFF0000"/>
        </patternFill>
      </fill>
    </dxf>
    <dxf>
      <fill>
        <patternFill patternType="none">
          <bgColor auto="1"/>
        </patternFill>
      </fill>
    </dxf>
    <dxf>
      <fill>
        <patternFill patternType="none">
          <bgColor auto="1"/>
        </patternFill>
      </fill>
    </dxf>
    <dxf>
      <fill>
        <patternFill>
          <bgColor rgb="FF00B050"/>
        </patternFill>
      </fill>
    </dxf>
    <dxf>
      <fill>
        <patternFill>
          <bgColor rgb="FFFF0000"/>
        </patternFill>
      </fill>
    </dxf>
    <dxf>
      <fill>
        <patternFill>
          <bgColor rgb="FF00B050"/>
        </patternFill>
      </fill>
    </dxf>
    <dxf>
      <fill>
        <patternFill>
          <bgColor rgb="FFFF0000"/>
        </patternFill>
      </fill>
    </dxf>
    <dxf>
      <numFmt numFmtId="0" formatCode="General"/>
      <fill>
        <patternFill>
          <bgColor theme="0" tint="-0.14996795556505021"/>
        </patternFill>
      </fill>
    </dxf>
    <dxf>
      <numFmt numFmtId="0" formatCode="General"/>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ont>
        <b/>
        <i val="0"/>
      </font>
      <fill>
        <patternFill>
          <bgColor rgb="FFFF0000"/>
        </patternFill>
      </fill>
    </dxf>
    <dxf>
      <font>
        <b/>
        <i val="0"/>
      </font>
      <fill>
        <patternFill>
          <bgColor rgb="FFFF0000"/>
        </patternFill>
      </fill>
    </dxf>
    <dxf>
      <fill>
        <patternFill patternType="none">
          <bgColor auto="1"/>
        </patternFill>
      </fill>
    </dxf>
    <dxf>
      <fill>
        <patternFill>
          <bgColor theme="0" tint="-0.14996795556505021"/>
        </patternFill>
      </fill>
    </dxf>
    <dxf>
      <numFmt numFmtId="0" formatCode="General"/>
      <fill>
        <patternFill>
          <bgColor theme="0" tint="-0.14996795556505021"/>
        </patternFill>
      </fill>
    </dxf>
    <dxf>
      <fill>
        <patternFill>
          <bgColor rgb="FFFFFF99"/>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2" tint="-0.24994659260841701"/>
        </patternFill>
      </fill>
    </dxf>
    <dxf>
      <fill>
        <patternFill>
          <bgColor theme="2" tint="-0.24994659260841701"/>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ont>
        <b/>
        <i val="0"/>
      </font>
      <fill>
        <patternFill>
          <bgColor rgb="FFFF000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FF0000"/>
        </patternFill>
      </fill>
    </dxf>
    <dxf>
      <fill>
        <patternFill>
          <bgColor theme="2" tint="-0.24994659260841701"/>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patternType="solid">
          <bgColor rgb="FFFFFF99"/>
        </patternFill>
      </fill>
    </dxf>
    <dxf>
      <fill>
        <patternFill patternType="none">
          <bgColor auto="1"/>
        </patternFill>
      </fill>
    </dxf>
    <dxf>
      <fill>
        <patternFill patternType="none">
          <bgColor auto="1"/>
        </patternFill>
      </fill>
    </dxf>
    <dxf>
      <fill>
        <patternFill patternType="none">
          <bgColor auto="1"/>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theme="0" tint="-0.14996795556505021"/>
        </patternFill>
      </fill>
    </dxf>
    <dxf>
      <fill>
        <patternFill patternType="none">
          <bgColor auto="1"/>
        </patternFill>
      </fill>
    </dxf>
    <dxf>
      <fill>
        <patternFill>
          <bgColor theme="0"/>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rgb="FFFFFF99"/>
        </patternFill>
      </fill>
    </dxf>
    <dxf>
      <fill>
        <patternFill patternType="solid">
          <bgColor rgb="FFFFFF99"/>
        </patternFill>
      </fill>
    </dxf>
    <dxf>
      <fill>
        <patternFill patternType="solid">
          <bgColor rgb="FFFFFF99"/>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numFmt numFmtId="0" formatCode="General"/>
      <fill>
        <patternFill>
          <bgColor theme="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patternType="none">
          <bgColor auto="1"/>
        </patternFill>
      </fill>
    </dxf>
    <dxf>
      <fill>
        <patternFill patternType="none">
          <bgColor auto="1"/>
        </patternFill>
      </fill>
    </dxf>
    <dxf>
      <fill>
        <patternFill patternType="none">
          <bgColor auto="1"/>
        </patternFill>
      </fill>
    </dxf>
    <dxf>
      <fill>
        <patternFill>
          <bgColor rgb="FF00B050"/>
        </patternFill>
      </fill>
    </dxf>
    <dxf>
      <fill>
        <patternFill patternType="none">
          <bgColor auto="1"/>
        </patternFill>
      </fill>
    </dxf>
    <dxf>
      <fill>
        <patternFill>
          <bgColor theme="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patternType="none">
          <bgColor auto="1"/>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FFFF99"/>
      <color rgb="FFB5E6A2"/>
      <color rgb="FFE97132"/>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22/11/relationships/FeaturePropertyBag" Target="featurePropertyBag/featurePropertyBag.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https://xbrl.efrag.org/convert/" TargetMode="External"/><Relationship Id="rId3" Type="http://schemas.openxmlformats.org/officeDocument/2006/relationships/image" Target="../media/image3.png"/><Relationship Id="rId7" Type="http://schemas.openxmlformats.org/officeDocument/2006/relationships/hyperlink" Target="https://github.com/EFRAG-EU/Digital-Template-to-XBRL-Converter/issues" TargetMode="Externa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https://finance.ec.europa.eu/publications/commission-presents-voluntary-sustainability-reporting-standard-ease-burden-smes_en" TargetMode="External"/><Relationship Id="rId5" Type="http://schemas.openxmlformats.org/officeDocument/2006/relationships/hyperlink" Target="#Licence!A1"/><Relationship Id="rId4" Type="http://schemas.openxmlformats.org/officeDocument/2006/relationships/hyperlink" Target="https://www.efrag.org/sites/default/files/sites/webpublishing/SiteAssets/VSME%20Standard.pdf"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Environmental Disclosures'!A1"/><Relationship Id="rId7" Type="http://schemas.openxmlformats.org/officeDocument/2006/relationships/hyperlink" Target="#'Table of Contents &amp; Validation'!A1"/><Relationship Id="rId2" Type="http://schemas.openxmlformats.org/officeDocument/2006/relationships/hyperlink" Target="https://osmfoundation.org/wiki/Privacy_Policy#Personal_data_we_receive_automatically" TargetMode="External"/><Relationship Id="rId1" Type="http://schemas.openxmlformats.org/officeDocument/2006/relationships/hyperlink" Target="https://operations.osmfoundation.org/policies/nominatim/" TargetMode="External"/><Relationship Id="rId6" Type="http://schemas.openxmlformats.org/officeDocument/2006/relationships/hyperlink" Target="#Introduction!A1"/><Relationship Id="rId5" Type="http://schemas.openxmlformats.org/officeDocument/2006/relationships/hyperlink" Target="#'Governance Disclosures'!A1"/><Relationship Id="rId4" Type="http://schemas.openxmlformats.org/officeDocument/2006/relationships/hyperlink" Target="#'Social Disclosures'!A1"/></Relationships>
</file>

<file path=xl/drawings/_rels/drawing3.xml.rels><?xml version="1.0" encoding="UTF-8" standalone="yes"?>
<Relationships xmlns="http://schemas.openxmlformats.org/package/2006/relationships"><Relationship Id="rId3" Type="http://schemas.openxmlformats.org/officeDocument/2006/relationships/hyperlink" Target="#'Governance Disclosures'!A1"/><Relationship Id="rId2" Type="http://schemas.openxmlformats.org/officeDocument/2006/relationships/hyperlink" Target="#'Social Disclosures'!A1"/><Relationship Id="rId1" Type="http://schemas.openxmlformats.org/officeDocument/2006/relationships/hyperlink" Target="https://www.efrag.org/en/smes-and-sustainability-reporting" TargetMode="External"/><Relationship Id="rId6" Type="http://schemas.openxmlformats.org/officeDocument/2006/relationships/hyperlink" Target="#'General Information'!A1"/><Relationship Id="rId5" Type="http://schemas.openxmlformats.org/officeDocument/2006/relationships/hyperlink" Target="#'Table of Contents &amp; Validation'!A1"/><Relationship Id="rId4" Type="http://schemas.openxmlformats.org/officeDocument/2006/relationships/hyperlink" Target="#Introduction!A1"/></Relationships>
</file>

<file path=xl/drawings/_rels/drawing4.xml.rels><?xml version="1.0" encoding="UTF-8" standalone="yes"?>
<Relationships xmlns="http://schemas.openxmlformats.org/package/2006/relationships"><Relationship Id="rId3" Type="http://schemas.openxmlformats.org/officeDocument/2006/relationships/hyperlink" Target="#'Table of Contents &amp; Validation'!A1"/><Relationship Id="rId2" Type="http://schemas.openxmlformats.org/officeDocument/2006/relationships/hyperlink" Target="#Introduction!A1"/><Relationship Id="rId1" Type="http://schemas.openxmlformats.org/officeDocument/2006/relationships/hyperlink" Target="#'Governance Disclosures'!A1"/><Relationship Id="rId5" Type="http://schemas.openxmlformats.org/officeDocument/2006/relationships/hyperlink" Target="#'Environmental Disclosures'!A1"/><Relationship Id="rId4" Type="http://schemas.openxmlformats.org/officeDocument/2006/relationships/hyperlink" Target="#'General Information'!A1"/></Relationships>
</file>

<file path=xl/drawings/_rels/drawing5.xml.rels><?xml version="1.0" encoding="UTF-8" standalone="yes"?>
<Relationships xmlns="http://schemas.openxmlformats.org/package/2006/relationships"><Relationship Id="rId3" Type="http://schemas.openxmlformats.org/officeDocument/2006/relationships/hyperlink" Target="#'General Information'!A1"/><Relationship Id="rId2" Type="http://schemas.openxmlformats.org/officeDocument/2006/relationships/hyperlink" Target="#'Table of Contents &amp; Validation'!A1"/><Relationship Id="rId1" Type="http://schemas.openxmlformats.org/officeDocument/2006/relationships/hyperlink" Target="#Introduction!A1"/><Relationship Id="rId5" Type="http://schemas.openxmlformats.org/officeDocument/2006/relationships/hyperlink" Target="#'Social Disclosures'!A1"/><Relationship Id="rId4" Type="http://schemas.openxmlformats.org/officeDocument/2006/relationships/hyperlink" Target="#'Environmental Disclosures'!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101601</xdr:rowOff>
    </xdr:from>
    <xdr:to>
      <xdr:col>2</xdr:col>
      <xdr:colOff>896135</xdr:colOff>
      <xdr:row>8</xdr:row>
      <xdr:rowOff>120650</xdr:rowOff>
    </xdr:to>
    <xdr:pic>
      <xdr:nvPicPr>
        <xdr:cNvPr id="3" name="Picture 1">
          <a:extLst>
            <a:ext uri="{FF2B5EF4-FFF2-40B4-BE49-F238E27FC236}">
              <a16:creationId xmlns:a16="http://schemas.microsoft.com/office/drawing/2014/main" id="{EE744A18-9278-F28C-CE93-223066AEF5D9}"/>
            </a:ext>
          </a:extLst>
        </xdr:cNvPr>
        <xdr:cNvPicPr>
          <a:picLocks noChangeAspect="1"/>
        </xdr:cNvPicPr>
      </xdr:nvPicPr>
      <xdr:blipFill>
        <a:blip xmlns:r="http://schemas.openxmlformats.org/officeDocument/2006/relationships" r:embed="rId1"/>
        <a:stretch>
          <a:fillRect/>
        </a:stretch>
      </xdr:blipFill>
      <xdr:spPr>
        <a:xfrm>
          <a:off x="406400" y="457201"/>
          <a:ext cx="4716295" cy="904874"/>
        </a:xfrm>
        <a:prstGeom prst="rect">
          <a:avLst/>
        </a:prstGeom>
      </xdr:spPr>
    </xdr:pic>
    <xdr:clientData/>
  </xdr:twoCellAnchor>
  <xdr:twoCellAnchor editAs="oneCell">
    <xdr:from>
      <xdr:col>1</xdr:col>
      <xdr:colOff>6551</xdr:colOff>
      <xdr:row>40</xdr:row>
      <xdr:rowOff>158162</xdr:rowOff>
    </xdr:from>
    <xdr:to>
      <xdr:col>1</xdr:col>
      <xdr:colOff>627581</xdr:colOff>
      <xdr:row>42</xdr:row>
      <xdr:rowOff>189813</xdr:rowOff>
    </xdr:to>
    <xdr:pic>
      <xdr:nvPicPr>
        <xdr:cNvPr id="13" name="Picture 1" descr="A flag with stars in the center&#10;&#10;Description automatically generated">
          <a:extLst>
            <a:ext uri="{FF2B5EF4-FFF2-40B4-BE49-F238E27FC236}">
              <a16:creationId xmlns:a16="http://schemas.microsoft.com/office/drawing/2014/main" id="{B2281DFB-0536-4402-89EF-0BEDD49B199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28372" y="19575555"/>
          <a:ext cx="628650" cy="391696"/>
        </a:xfrm>
        <a:prstGeom prst="rect">
          <a:avLst/>
        </a:prstGeom>
      </xdr:spPr>
    </xdr:pic>
    <xdr:clientData/>
  </xdr:twoCellAnchor>
  <xdr:twoCellAnchor editAs="oneCell">
    <xdr:from>
      <xdr:col>1</xdr:col>
      <xdr:colOff>1809750</xdr:colOff>
      <xdr:row>36</xdr:row>
      <xdr:rowOff>47625</xdr:rowOff>
    </xdr:from>
    <xdr:to>
      <xdr:col>1</xdr:col>
      <xdr:colOff>2421976</xdr:colOff>
      <xdr:row>36</xdr:row>
      <xdr:rowOff>515049</xdr:rowOff>
    </xdr:to>
    <xdr:pic>
      <xdr:nvPicPr>
        <xdr:cNvPr id="7" name="Picture 1">
          <a:extLst>
            <a:ext uri="{FF2B5EF4-FFF2-40B4-BE49-F238E27FC236}">
              <a16:creationId xmlns:a16="http://schemas.microsoft.com/office/drawing/2014/main" id="{FAC21AA4-78C9-7CCC-3AF3-0C14CAFC6FC9}"/>
            </a:ext>
          </a:extLst>
        </xdr:cNvPr>
        <xdr:cNvPicPr>
          <a:picLocks noChangeAspect="1"/>
        </xdr:cNvPicPr>
      </xdr:nvPicPr>
      <xdr:blipFill>
        <a:blip xmlns:r="http://schemas.openxmlformats.org/officeDocument/2006/relationships" r:embed="rId3"/>
        <a:stretch>
          <a:fillRect/>
        </a:stretch>
      </xdr:blipFill>
      <xdr:spPr>
        <a:xfrm>
          <a:off x="2206625" y="11223625"/>
          <a:ext cx="619211" cy="457264"/>
        </a:xfrm>
        <a:prstGeom prst="rect">
          <a:avLst/>
        </a:prstGeom>
      </xdr:spPr>
    </xdr:pic>
    <xdr:clientData/>
  </xdr:twoCellAnchor>
  <xdr:twoCellAnchor>
    <xdr:from>
      <xdr:col>4</xdr:col>
      <xdr:colOff>1619250</xdr:colOff>
      <xdr:row>14</xdr:row>
      <xdr:rowOff>111125</xdr:rowOff>
    </xdr:from>
    <xdr:to>
      <xdr:col>5</xdr:col>
      <xdr:colOff>952500</xdr:colOff>
      <xdr:row>14</xdr:row>
      <xdr:rowOff>396875</xdr:rowOff>
    </xdr:to>
    <xdr:sp macro="" textlink="">
      <xdr:nvSpPr>
        <xdr:cNvPr id="4" name="Rectangle 3">
          <a:hlinkClick xmlns:r="http://schemas.openxmlformats.org/officeDocument/2006/relationships" r:id="rId4"/>
          <a:extLst>
            <a:ext uri="{FF2B5EF4-FFF2-40B4-BE49-F238E27FC236}">
              <a16:creationId xmlns:a16="http://schemas.microsoft.com/office/drawing/2014/main" id="{D363C8B0-1A23-844C-E436-469E998EC547}"/>
            </a:ext>
          </a:extLst>
        </xdr:cNvPr>
        <xdr:cNvSpPr/>
      </xdr:nvSpPr>
      <xdr:spPr>
        <a:xfrm>
          <a:off x="14462125" y="2476500"/>
          <a:ext cx="1635125" cy="2857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5</xdr:col>
      <xdr:colOff>2841625</xdr:colOff>
      <xdr:row>14</xdr:row>
      <xdr:rowOff>3984625</xdr:rowOff>
    </xdr:from>
    <xdr:to>
      <xdr:col>6</xdr:col>
      <xdr:colOff>1238250</xdr:colOff>
      <xdr:row>14</xdr:row>
      <xdr:rowOff>4270375</xdr:rowOff>
    </xdr:to>
    <xdr:sp macro="" textlink="">
      <xdr:nvSpPr>
        <xdr:cNvPr id="5" name="Rectangle 4">
          <a:hlinkClick xmlns:r="http://schemas.openxmlformats.org/officeDocument/2006/relationships" r:id="rId5"/>
          <a:extLst>
            <a:ext uri="{FF2B5EF4-FFF2-40B4-BE49-F238E27FC236}">
              <a16:creationId xmlns:a16="http://schemas.microsoft.com/office/drawing/2014/main" id="{5A054C28-8550-3AA9-5D05-8D1B733171A0}"/>
            </a:ext>
          </a:extLst>
        </xdr:cNvPr>
        <xdr:cNvSpPr/>
      </xdr:nvSpPr>
      <xdr:spPr>
        <a:xfrm>
          <a:off x="17986375" y="6350000"/>
          <a:ext cx="1301750" cy="2857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3</xdr:col>
      <xdr:colOff>3024079</xdr:colOff>
      <xdr:row>14</xdr:row>
      <xdr:rowOff>128861</xdr:rowOff>
    </xdr:from>
    <xdr:to>
      <xdr:col>4</xdr:col>
      <xdr:colOff>133685</xdr:colOff>
      <xdr:row>14</xdr:row>
      <xdr:rowOff>384342</xdr:rowOff>
    </xdr:to>
    <xdr:sp macro="" textlink="">
      <xdr:nvSpPr>
        <xdr:cNvPr id="2" name="Rectangle 1">
          <a:hlinkClick xmlns:r="http://schemas.openxmlformats.org/officeDocument/2006/relationships" r:id="rId6"/>
          <a:extLst>
            <a:ext uri="{FF2B5EF4-FFF2-40B4-BE49-F238E27FC236}">
              <a16:creationId xmlns:a16="http://schemas.microsoft.com/office/drawing/2014/main" id="{16B5C088-64AA-B68A-75C3-AC7A29FD2933}"/>
            </a:ext>
          </a:extLst>
        </xdr:cNvPr>
        <xdr:cNvSpPr/>
      </xdr:nvSpPr>
      <xdr:spPr>
        <a:xfrm>
          <a:off x="11270724" y="3128400"/>
          <a:ext cx="1955658" cy="2554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1</xdr:col>
      <xdr:colOff>3167743</xdr:colOff>
      <xdr:row>14</xdr:row>
      <xdr:rowOff>3853543</xdr:rowOff>
    </xdr:from>
    <xdr:to>
      <xdr:col>2</xdr:col>
      <xdr:colOff>359229</xdr:colOff>
      <xdr:row>15</xdr:row>
      <xdr:rowOff>0</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5DA8BDE8-DFBE-01BD-5268-5269918EC771}"/>
            </a:ext>
          </a:extLst>
        </xdr:cNvPr>
        <xdr:cNvSpPr/>
      </xdr:nvSpPr>
      <xdr:spPr>
        <a:xfrm>
          <a:off x="3581400" y="6324600"/>
          <a:ext cx="1034143" cy="2721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3</xdr:col>
      <xdr:colOff>3250196</xdr:colOff>
      <xdr:row>14</xdr:row>
      <xdr:rowOff>4135855</xdr:rowOff>
    </xdr:from>
    <xdr:to>
      <xdr:col>4</xdr:col>
      <xdr:colOff>359802</xdr:colOff>
      <xdr:row>14</xdr:row>
      <xdr:rowOff>4391336</xdr:rowOff>
    </xdr:to>
    <xdr:sp macro="" textlink="">
      <xdr:nvSpPr>
        <xdr:cNvPr id="6" name="Rectangle 5">
          <a:hlinkClick xmlns:r="http://schemas.openxmlformats.org/officeDocument/2006/relationships" r:id="rId7"/>
          <a:extLst>
            <a:ext uri="{FF2B5EF4-FFF2-40B4-BE49-F238E27FC236}">
              <a16:creationId xmlns:a16="http://schemas.microsoft.com/office/drawing/2014/main" id="{92047DF3-52C0-4431-AF32-361AC294F73A}"/>
            </a:ext>
          </a:extLst>
        </xdr:cNvPr>
        <xdr:cNvSpPr/>
      </xdr:nvSpPr>
      <xdr:spPr>
        <a:xfrm>
          <a:off x="11496841" y="7135394"/>
          <a:ext cx="1955658" cy="2554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2</xdr:col>
      <xdr:colOff>1422399</xdr:colOff>
      <xdr:row>14</xdr:row>
      <xdr:rowOff>1455821</xdr:rowOff>
    </xdr:from>
    <xdr:to>
      <xdr:col>3</xdr:col>
      <xdr:colOff>342566</xdr:colOff>
      <xdr:row>14</xdr:row>
      <xdr:rowOff>1746250</xdr:rowOff>
    </xdr:to>
    <xdr:sp macro="" textlink="">
      <xdr:nvSpPr>
        <xdr:cNvPr id="9" name="Rectangle 8">
          <a:hlinkClick xmlns:r="http://schemas.openxmlformats.org/officeDocument/2006/relationships" r:id="rId8"/>
          <a:extLst>
            <a:ext uri="{FF2B5EF4-FFF2-40B4-BE49-F238E27FC236}">
              <a16:creationId xmlns:a16="http://schemas.microsoft.com/office/drawing/2014/main" id="{FD3D0CA1-935F-4D15-B066-EA5F030DB1D2}"/>
            </a:ext>
          </a:extLst>
        </xdr:cNvPr>
        <xdr:cNvSpPr/>
      </xdr:nvSpPr>
      <xdr:spPr>
        <a:xfrm>
          <a:off x="5750425" y="4455360"/>
          <a:ext cx="2838786" cy="29042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19050</xdr:colOff>
      <xdr:row>105</xdr:row>
      <xdr:rowOff>1025237</xdr:rowOff>
    </xdr:from>
    <xdr:to>
      <xdr:col>7</xdr:col>
      <xdr:colOff>2628900</xdr:colOff>
      <xdr:row>105</xdr:row>
      <xdr:rowOff>1215737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AA8989A-7C57-462C-8649-46BDC612C39A}"/>
            </a:ext>
          </a:extLst>
        </xdr:cNvPr>
        <xdr:cNvSpPr/>
      </xdr:nvSpPr>
      <xdr:spPr>
        <a:xfrm>
          <a:off x="11336482" y="15806305"/>
          <a:ext cx="2609850" cy="190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7</xdr:col>
      <xdr:colOff>58362</xdr:colOff>
      <xdr:row>105</xdr:row>
      <xdr:rowOff>989215</xdr:rowOff>
    </xdr:from>
    <xdr:to>
      <xdr:col>7</xdr:col>
      <xdr:colOff>2724150</xdr:colOff>
      <xdr:row>106</xdr:row>
      <xdr:rowOff>333375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381497CC-CEB7-47E2-AF4C-81EAAA116533}"/>
            </a:ext>
          </a:extLst>
        </xdr:cNvPr>
        <xdr:cNvSpPr/>
      </xdr:nvSpPr>
      <xdr:spPr>
        <a:xfrm>
          <a:off x="14450637" y="12514465"/>
          <a:ext cx="2665788" cy="33476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7</xdr:col>
      <xdr:colOff>3460750</xdr:colOff>
      <xdr:row>166</xdr:row>
      <xdr:rowOff>12699</xdr:rowOff>
    </xdr:from>
    <xdr:to>
      <xdr:col>7</xdr:col>
      <xdr:colOff>6200323</xdr:colOff>
      <xdr:row>173</xdr:row>
      <xdr:rowOff>139245</xdr:rowOff>
    </xdr:to>
    <xdr:sp macro="" textlink="">
      <xdr:nvSpPr>
        <xdr:cNvPr id="4" name="Arrow: Right 3">
          <a:hlinkClick xmlns:r="http://schemas.openxmlformats.org/officeDocument/2006/relationships" r:id="rId3"/>
          <a:extLst>
            <a:ext uri="{FF2B5EF4-FFF2-40B4-BE49-F238E27FC236}">
              <a16:creationId xmlns:a16="http://schemas.microsoft.com/office/drawing/2014/main" id="{391A546A-0CCE-7CB4-8907-583657050E25}"/>
            </a:ext>
          </a:extLst>
        </xdr:cNvPr>
        <xdr:cNvSpPr/>
      </xdr:nvSpPr>
      <xdr:spPr>
        <a:xfrm>
          <a:off x="17100550" y="62534799"/>
          <a:ext cx="2739573" cy="1393371"/>
        </a:xfrm>
        <a:prstGeom prst="righ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Environmental Disclosures</a:t>
          </a:r>
        </a:p>
      </xdr:txBody>
    </xdr:sp>
    <xdr:clientData/>
  </xdr:twoCellAnchor>
  <xdr:twoCellAnchor>
    <xdr:from>
      <xdr:col>7</xdr:col>
      <xdr:colOff>3452585</xdr:colOff>
      <xdr:row>175</xdr:row>
      <xdr:rowOff>35831</xdr:rowOff>
    </xdr:from>
    <xdr:to>
      <xdr:col>7</xdr:col>
      <xdr:colOff>6192158</xdr:colOff>
      <xdr:row>182</xdr:row>
      <xdr:rowOff>162378</xdr:rowOff>
    </xdr:to>
    <xdr:sp macro="" textlink="">
      <xdr:nvSpPr>
        <xdr:cNvPr id="5" name="Arrow: Right 4">
          <a:hlinkClick xmlns:r="http://schemas.openxmlformats.org/officeDocument/2006/relationships" r:id="rId4"/>
          <a:extLst>
            <a:ext uri="{FF2B5EF4-FFF2-40B4-BE49-F238E27FC236}">
              <a16:creationId xmlns:a16="http://schemas.microsoft.com/office/drawing/2014/main" id="{034DCD15-5CD6-4EE4-BE72-3F1FBACC1057}"/>
            </a:ext>
          </a:extLst>
        </xdr:cNvPr>
        <xdr:cNvSpPr/>
      </xdr:nvSpPr>
      <xdr:spPr>
        <a:xfrm>
          <a:off x="17092385" y="64186706"/>
          <a:ext cx="2739573" cy="1393372"/>
        </a:xfrm>
        <a:prstGeom prst="righ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BE" sz="1800" b="1">
              <a:solidFill>
                <a:schemeClr val="tx1"/>
              </a:solidFill>
              <a:effectLst/>
              <a:latin typeface="+mn-lt"/>
              <a:ea typeface="+mn-ea"/>
              <a:cs typeface="+mn-cs"/>
            </a:rPr>
            <a:t>Go to Social Disclosures</a:t>
          </a:r>
          <a:endParaRPr lang="en-BE" sz="1800" b="1">
            <a:solidFill>
              <a:schemeClr val="tx1"/>
            </a:solidFill>
            <a:effectLst/>
          </a:endParaRPr>
        </a:p>
        <a:p>
          <a:pPr algn="ctr"/>
          <a:endParaRPr lang="en-BE" sz="1800" b="1">
            <a:solidFill>
              <a:schemeClr val="tx1"/>
            </a:solidFill>
          </a:endParaRPr>
        </a:p>
      </xdr:txBody>
    </xdr:sp>
    <xdr:clientData/>
  </xdr:twoCellAnchor>
  <xdr:twoCellAnchor>
    <xdr:from>
      <xdr:col>7</xdr:col>
      <xdr:colOff>3474357</xdr:colOff>
      <xdr:row>183</xdr:row>
      <xdr:rowOff>178707</xdr:rowOff>
    </xdr:from>
    <xdr:to>
      <xdr:col>7</xdr:col>
      <xdr:colOff>6213930</xdr:colOff>
      <xdr:row>191</xdr:row>
      <xdr:rowOff>128361</xdr:rowOff>
    </xdr:to>
    <xdr:sp macro="" textlink="">
      <xdr:nvSpPr>
        <xdr:cNvPr id="6" name="Arrow: Right 5">
          <a:hlinkClick xmlns:r="http://schemas.openxmlformats.org/officeDocument/2006/relationships" r:id="rId5"/>
          <a:extLst>
            <a:ext uri="{FF2B5EF4-FFF2-40B4-BE49-F238E27FC236}">
              <a16:creationId xmlns:a16="http://schemas.microsoft.com/office/drawing/2014/main" id="{2305ED6B-777E-4789-82E7-887232BD41A1}"/>
            </a:ext>
          </a:extLst>
        </xdr:cNvPr>
        <xdr:cNvSpPr/>
      </xdr:nvSpPr>
      <xdr:spPr>
        <a:xfrm>
          <a:off x="17114157" y="65777382"/>
          <a:ext cx="2739573" cy="1397454"/>
        </a:xfrm>
        <a:prstGeom prst="righ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BE" sz="1800" b="1">
              <a:solidFill>
                <a:schemeClr val="tx1"/>
              </a:solidFill>
              <a:effectLst/>
              <a:latin typeface="+mn-lt"/>
              <a:ea typeface="+mn-ea"/>
              <a:cs typeface="+mn-cs"/>
            </a:rPr>
            <a:t>Go to Governance Disclosures</a:t>
          </a:r>
          <a:endParaRPr lang="en-BE" sz="1800" b="1">
            <a:solidFill>
              <a:schemeClr val="tx1"/>
            </a:solidFill>
            <a:effectLst/>
          </a:endParaRPr>
        </a:p>
      </xdr:txBody>
    </xdr:sp>
    <xdr:clientData/>
  </xdr:twoCellAnchor>
  <xdr:twoCellAnchor>
    <xdr:from>
      <xdr:col>3</xdr:col>
      <xdr:colOff>2032001</xdr:colOff>
      <xdr:row>167</xdr:row>
      <xdr:rowOff>154214</xdr:rowOff>
    </xdr:from>
    <xdr:to>
      <xdr:col>4</xdr:col>
      <xdr:colOff>1841500</xdr:colOff>
      <xdr:row>171</xdr:row>
      <xdr:rowOff>110672</xdr:rowOff>
    </xdr:to>
    <xdr:sp macro="" textlink="">
      <xdr:nvSpPr>
        <xdr:cNvPr id="7" name="Rectangle 6">
          <a:hlinkClick xmlns:r="http://schemas.openxmlformats.org/officeDocument/2006/relationships" r:id="rId6"/>
          <a:extLst>
            <a:ext uri="{FF2B5EF4-FFF2-40B4-BE49-F238E27FC236}">
              <a16:creationId xmlns:a16="http://schemas.microsoft.com/office/drawing/2014/main" id="{3834BDA7-E7E1-2618-0D54-1DCE21F3D5EA}"/>
            </a:ext>
          </a:extLst>
        </xdr:cNvPr>
        <xdr:cNvSpPr/>
      </xdr:nvSpPr>
      <xdr:spPr>
        <a:xfrm>
          <a:off x="7340601" y="62790614"/>
          <a:ext cx="2755899" cy="667658"/>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Introduction</a:t>
          </a:r>
        </a:p>
      </xdr:txBody>
    </xdr:sp>
    <xdr:clientData/>
  </xdr:twoCellAnchor>
  <xdr:twoCellAnchor>
    <xdr:from>
      <xdr:col>3</xdr:col>
      <xdr:colOff>2053772</xdr:colOff>
      <xdr:row>176</xdr:row>
      <xdr:rowOff>121557</xdr:rowOff>
    </xdr:from>
    <xdr:to>
      <xdr:col>4</xdr:col>
      <xdr:colOff>1863271</xdr:colOff>
      <xdr:row>180</xdr:row>
      <xdr:rowOff>78014</xdr:rowOff>
    </xdr:to>
    <xdr:sp macro="" textlink="">
      <xdr:nvSpPr>
        <xdr:cNvPr id="8" name="Rectangle 7">
          <a:hlinkClick xmlns:r="http://schemas.openxmlformats.org/officeDocument/2006/relationships" r:id="rId7"/>
          <a:extLst>
            <a:ext uri="{FF2B5EF4-FFF2-40B4-BE49-F238E27FC236}">
              <a16:creationId xmlns:a16="http://schemas.microsoft.com/office/drawing/2014/main" id="{8F5A7024-A53D-40B1-8355-2C3729A09FA5}"/>
            </a:ext>
          </a:extLst>
        </xdr:cNvPr>
        <xdr:cNvSpPr/>
      </xdr:nvSpPr>
      <xdr:spPr>
        <a:xfrm>
          <a:off x="7362372" y="64358157"/>
          <a:ext cx="2755899" cy="667657"/>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BE" sz="1800" b="1">
              <a:solidFill>
                <a:schemeClr val="tx1"/>
              </a:solidFill>
            </a:rPr>
            <a:t>Go to Table of Contents &amp;</a:t>
          </a:r>
          <a:r>
            <a:rPr lang="en-BE" sz="1800" b="1" baseline="0">
              <a:solidFill>
                <a:schemeClr val="tx1"/>
              </a:solidFill>
            </a:rPr>
            <a:t> Validation</a:t>
          </a:r>
        </a:p>
        <a:p>
          <a:pPr algn="l"/>
          <a:endParaRPr lang="en-BE" sz="1800" b="1">
            <a:solidFill>
              <a:schemeClr val="tx1"/>
            </a:solidFill>
          </a:endParaRPr>
        </a:p>
      </xdr:txBody>
    </xdr:sp>
    <xdr:clientData/>
  </xdr:twoCellAnchor>
  <xdr:twoCellAnchor>
    <xdr:from>
      <xdr:col>7</xdr:col>
      <xdr:colOff>19050</xdr:colOff>
      <xdr:row>106</xdr:row>
      <xdr:rowOff>1025237</xdr:rowOff>
    </xdr:from>
    <xdr:to>
      <xdr:col>7</xdr:col>
      <xdr:colOff>2628900</xdr:colOff>
      <xdr:row>106</xdr:row>
      <xdr:rowOff>1215737</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8175F491-2547-4288-94C3-7DA524447DDD}"/>
            </a:ext>
          </a:extLst>
        </xdr:cNvPr>
        <xdr:cNvSpPr/>
      </xdr:nvSpPr>
      <xdr:spPr>
        <a:xfrm>
          <a:off x="14407515" y="12550487"/>
          <a:ext cx="2613660" cy="190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7</xdr:col>
      <xdr:colOff>54552</xdr:colOff>
      <xdr:row>106</xdr:row>
      <xdr:rowOff>400049</xdr:rowOff>
    </xdr:from>
    <xdr:to>
      <xdr:col>7</xdr:col>
      <xdr:colOff>895350</xdr:colOff>
      <xdr:row>106</xdr:row>
      <xdr:rowOff>636269</xdr:rowOff>
    </xdr:to>
    <xdr:sp macro="" textlink="">
      <xdr:nvSpPr>
        <xdr:cNvPr id="10" name="Rectangle 9">
          <a:hlinkClick xmlns:r="http://schemas.openxmlformats.org/officeDocument/2006/relationships" r:id="rId2"/>
          <a:extLst>
            <a:ext uri="{FF2B5EF4-FFF2-40B4-BE49-F238E27FC236}">
              <a16:creationId xmlns:a16="http://schemas.microsoft.com/office/drawing/2014/main" id="{3B7A973E-62AC-410D-BE85-70AFDD1C6721}"/>
            </a:ext>
          </a:extLst>
        </xdr:cNvPr>
        <xdr:cNvSpPr/>
      </xdr:nvSpPr>
      <xdr:spPr>
        <a:xfrm flipV="1">
          <a:off x="14446827" y="12915899"/>
          <a:ext cx="840798" cy="23622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164920</xdr:colOff>
      <xdr:row>22</xdr:row>
      <xdr:rowOff>12161</xdr:rowOff>
    </xdr:from>
    <xdr:to>
      <xdr:col>1</xdr:col>
      <xdr:colOff>523815</xdr:colOff>
      <xdr:row>23</xdr:row>
      <xdr:rowOff>8986</xdr:rowOff>
    </xdr:to>
    <xdr:sp macro="" textlink="">
      <xdr:nvSpPr>
        <xdr:cNvPr id="2" name="TextBox 1">
          <a:hlinkClick xmlns:r="http://schemas.openxmlformats.org/officeDocument/2006/relationships" r:id="rId1"/>
          <a:extLst>
            <a:ext uri="{FF2B5EF4-FFF2-40B4-BE49-F238E27FC236}">
              <a16:creationId xmlns:a16="http://schemas.microsoft.com/office/drawing/2014/main" id="{92F13EBD-F6A9-F6FF-AD9E-355D8C46B238}"/>
            </a:ext>
          </a:extLst>
        </xdr:cNvPr>
        <xdr:cNvSpPr txBox="1"/>
      </xdr:nvSpPr>
      <xdr:spPr>
        <a:xfrm>
          <a:off x="164920" y="5268883"/>
          <a:ext cx="1050805" cy="1765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BE" sz="1100"/>
        </a:p>
      </xdr:txBody>
    </xdr:sp>
    <xdr:clientData/>
  </xdr:twoCellAnchor>
  <xdr:twoCellAnchor>
    <xdr:from>
      <xdr:col>10</xdr:col>
      <xdr:colOff>338818</xdr:colOff>
      <xdr:row>245</xdr:row>
      <xdr:rowOff>149679</xdr:rowOff>
    </xdr:from>
    <xdr:to>
      <xdr:col>11</xdr:col>
      <xdr:colOff>1802947</xdr:colOff>
      <xdr:row>253</xdr:row>
      <xdr:rowOff>127908</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3F3D2D47-AF98-4169-A524-BAB1DEACE9CB}"/>
            </a:ext>
          </a:extLst>
        </xdr:cNvPr>
        <xdr:cNvSpPr/>
      </xdr:nvSpPr>
      <xdr:spPr>
        <a:xfrm>
          <a:off x="15807418" y="60685136"/>
          <a:ext cx="2737758" cy="1458686"/>
        </a:xfrm>
        <a:prstGeom prst="righ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BE" sz="1800" b="1">
              <a:solidFill>
                <a:schemeClr val="tx1"/>
              </a:solidFill>
              <a:effectLst/>
              <a:latin typeface="+mn-lt"/>
              <a:ea typeface="+mn-ea"/>
              <a:cs typeface="+mn-cs"/>
            </a:rPr>
            <a:t>Go to Social Disclosures</a:t>
          </a:r>
          <a:endParaRPr lang="en-BE" sz="1800" b="1">
            <a:solidFill>
              <a:schemeClr val="tx1"/>
            </a:solidFill>
            <a:effectLst/>
          </a:endParaRPr>
        </a:p>
      </xdr:txBody>
    </xdr:sp>
    <xdr:clientData/>
  </xdr:twoCellAnchor>
  <xdr:twoCellAnchor>
    <xdr:from>
      <xdr:col>10</xdr:col>
      <xdr:colOff>393247</xdr:colOff>
      <xdr:row>254</xdr:row>
      <xdr:rowOff>164647</xdr:rowOff>
    </xdr:from>
    <xdr:to>
      <xdr:col>11</xdr:col>
      <xdr:colOff>1857376</xdr:colOff>
      <xdr:row>262</xdr:row>
      <xdr:rowOff>138793</xdr:rowOff>
    </xdr:to>
    <xdr:sp macro="" textlink="">
      <xdr:nvSpPr>
        <xdr:cNvPr id="4" name="Arrow: Right 3">
          <a:hlinkClick xmlns:r="http://schemas.openxmlformats.org/officeDocument/2006/relationships" r:id="rId3"/>
          <a:extLst>
            <a:ext uri="{FF2B5EF4-FFF2-40B4-BE49-F238E27FC236}">
              <a16:creationId xmlns:a16="http://schemas.microsoft.com/office/drawing/2014/main" id="{55FD9AF0-1E71-4787-98B3-63EBD7D1A459}"/>
            </a:ext>
          </a:extLst>
        </xdr:cNvPr>
        <xdr:cNvSpPr/>
      </xdr:nvSpPr>
      <xdr:spPr>
        <a:xfrm>
          <a:off x="15861847" y="62365618"/>
          <a:ext cx="2737758" cy="1454604"/>
        </a:xfrm>
        <a:prstGeom prst="righ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BE" sz="1800" b="1">
              <a:solidFill>
                <a:schemeClr val="tx1"/>
              </a:solidFill>
              <a:effectLst/>
              <a:latin typeface="+mn-lt"/>
              <a:ea typeface="+mn-ea"/>
              <a:cs typeface="+mn-cs"/>
            </a:rPr>
            <a:t>Go to Governance Disclosures</a:t>
          </a:r>
          <a:endParaRPr lang="en-BE" sz="1800" b="1">
            <a:solidFill>
              <a:schemeClr val="tx1"/>
            </a:solidFill>
            <a:effectLst/>
          </a:endParaRPr>
        </a:p>
      </xdr:txBody>
    </xdr:sp>
    <xdr:clientData/>
  </xdr:twoCellAnchor>
  <xdr:twoCellAnchor>
    <xdr:from>
      <xdr:col>4</xdr:col>
      <xdr:colOff>880382</xdr:colOff>
      <xdr:row>247</xdr:row>
      <xdr:rowOff>119743</xdr:rowOff>
    </xdr:from>
    <xdr:to>
      <xdr:col>6</xdr:col>
      <xdr:colOff>732064</xdr:colOff>
      <xdr:row>251</xdr:row>
      <xdr:rowOff>88447</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E1B8D3EB-C8A5-427E-B5B4-003A8002592F}"/>
            </a:ext>
          </a:extLst>
        </xdr:cNvPr>
        <xdr:cNvSpPr/>
      </xdr:nvSpPr>
      <xdr:spPr>
        <a:xfrm>
          <a:off x="8772525" y="61025314"/>
          <a:ext cx="2758168" cy="708933"/>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Introduction</a:t>
          </a:r>
        </a:p>
      </xdr:txBody>
    </xdr:sp>
    <xdr:clientData/>
  </xdr:twoCellAnchor>
  <xdr:twoCellAnchor>
    <xdr:from>
      <xdr:col>4</xdr:col>
      <xdr:colOff>869496</xdr:colOff>
      <xdr:row>256</xdr:row>
      <xdr:rowOff>69397</xdr:rowOff>
    </xdr:from>
    <xdr:to>
      <xdr:col>6</xdr:col>
      <xdr:colOff>721178</xdr:colOff>
      <xdr:row>260</xdr:row>
      <xdr:rowOff>38101</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B6C7FA17-3A95-4322-89A6-BE9C7E7EDC7C}"/>
            </a:ext>
          </a:extLst>
        </xdr:cNvPr>
        <xdr:cNvSpPr/>
      </xdr:nvSpPr>
      <xdr:spPr>
        <a:xfrm>
          <a:off x="8761639" y="62640483"/>
          <a:ext cx="2758168" cy="708932"/>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BE" sz="1800" b="1">
              <a:solidFill>
                <a:schemeClr val="tx1"/>
              </a:solidFill>
            </a:rPr>
            <a:t>Go to Table of Contents &amp;</a:t>
          </a:r>
          <a:r>
            <a:rPr lang="en-BE" sz="1800" b="1" baseline="0">
              <a:solidFill>
                <a:schemeClr val="tx1"/>
              </a:solidFill>
            </a:rPr>
            <a:t> Validation</a:t>
          </a:r>
        </a:p>
        <a:p>
          <a:pPr algn="l"/>
          <a:endParaRPr lang="en-BE" sz="1800" b="1">
            <a:solidFill>
              <a:schemeClr val="tx1"/>
            </a:solidFill>
          </a:endParaRPr>
        </a:p>
      </xdr:txBody>
    </xdr:sp>
    <xdr:clientData/>
  </xdr:twoCellAnchor>
  <xdr:twoCellAnchor>
    <xdr:from>
      <xdr:col>2</xdr:col>
      <xdr:colOff>118382</xdr:colOff>
      <xdr:row>245</xdr:row>
      <xdr:rowOff>107495</xdr:rowOff>
    </xdr:from>
    <xdr:to>
      <xdr:col>2</xdr:col>
      <xdr:colOff>3322819</xdr:colOff>
      <xdr:row>253</xdr:row>
      <xdr:rowOff>162394</xdr:rowOff>
    </xdr:to>
    <xdr:sp macro="" textlink="">
      <xdr:nvSpPr>
        <xdr:cNvPr id="9" name="Arrow: Left 8">
          <a:hlinkClick xmlns:r="http://schemas.openxmlformats.org/officeDocument/2006/relationships" r:id="rId6"/>
          <a:extLst>
            <a:ext uri="{FF2B5EF4-FFF2-40B4-BE49-F238E27FC236}">
              <a16:creationId xmlns:a16="http://schemas.microsoft.com/office/drawing/2014/main" id="{A0A23430-4DD2-E4F0-14C3-62475C30B0A8}"/>
            </a:ext>
          </a:extLst>
        </xdr:cNvPr>
        <xdr:cNvSpPr/>
      </xdr:nvSpPr>
      <xdr:spPr>
        <a:xfrm>
          <a:off x="2754152" y="54221987"/>
          <a:ext cx="3204437" cy="1553915"/>
        </a:xfrm>
        <a:prstGeom prst="lef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General Information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160565</xdr:colOff>
      <xdr:row>111</xdr:row>
      <xdr:rowOff>53068</xdr:rowOff>
    </xdr:from>
    <xdr:to>
      <xdr:col>8</xdr:col>
      <xdr:colOff>213633</xdr:colOff>
      <xdr:row>119</xdr:row>
      <xdr:rowOff>31297</xdr:rowOff>
    </xdr:to>
    <xdr:sp macro="" textlink="">
      <xdr:nvSpPr>
        <xdr:cNvPr id="3" name="Arrow: Right 2">
          <a:hlinkClick xmlns:r="http://schemas.openxmlformats.org/officeDocument/2006/relationships" r:id="rId1"/>
          <a:extLst>
            <a:ext uri="{FF2B5EF4-FFF2-40B4-BE49-F238E27FC236}">
              <a16:creationId xmlns:a16="http://schemas.microsoft.com/office/drawing/2014/main" id="{E997F0E8-8CEB-48B4-9BA8-D779EA9C83DD}"/>
            </a:ext>
          </a:extLst>
        </xdr:cNvPr>
        <xdr:cNvSpPr/>
      </xdr:nvSpPr>
      <xdr:spPr>
        <a:xfrm>
          <a:off x="11840936" y="31001154"/>
          <a:ext cx="2730954" cy="1458686"/>
        </a:xfrm>
        <a:prstGeom prst="righ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BE" sz="1800" b="1">
              <a:solidFill>
                <a:schemeClr val="tx1"/>
              </a:solidFill>
              <a:effectLst/>
              <a:latin typeface="+mn-lt"/>
              <a:ea typeface="+mn-ea"/>
              <a:cs typeface="+mn-cs"/>
            </a:rPr>
            <a:t>Go to Governance Disclosures</a:t>
          </a:r>
          <a:endParaRPr lang="en-BE" sz="1800" b="1">
            <a:solidFill>
              <a:schemeClr val="tx1"/>
            </a:solidFill>
            <a:effectLst/>
          </a:endParaRPr>
        </a:p>
      </xdr:txBody>
    </xdr:sp>
    <xdr:clientData/>
  </xdr:twoCellAnchor>
  <xdr:twoCellAnchor>
    <xdr:from>
      <xdr:col>2</xdr:col>
      <xdr:colOff>4667250</xdr:colOff>
      <xdr:row>113</xdr:row>
      <xdr:rowOff>56998</xdr:rowOff>
    </xdr:from>
    <xdr:to>
      <xdr:col>3</xdr:col>
      <xdr:colOff>2346959</xdr:colOff>
      <xdr:row>117</xdr:row>
      <xdr:rowOff>76200</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C63E2430-FD6B-43E1-A3F6-4DDC98CB497F}"/>
            </a:ext>
          </a:extLst>
        </xdr:cNvPr>
        <xdr:cNvSpPr/>
      </xdr:nvSpPr>
      <xdr:spPr>
        <a:xfrm>
          <a:off x="6038850" y="21773998"/>
          <a:ext cx="2499359" cy="743102"/>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Introduction</a:t>
          </a:r>
        </a:p>
      </xdr:txBody>
    </xdr:sp>
    <xdr:clientData/>
  </xdr:twoCellAnchor>
  <xdr:twoCellAnchor>
    <xdr:from>
      <xdr:col>2</xdr:col>
      <xdr:colOff>4674113</xdr:colOff>
      <xdr:row>123</xdr:row>
      <xdr:rowOff>93556</xdr:rowOff>
    </xdr:from>
    <xdr:to>
      <xdr:col>3</xdr:col>
      <xdr:colOff>2295525</xdr:colOff>
      <xdr:row>127</xdr:row>
      <xdr:rowOff>76200</xdr:rowOff>
    </xdr:to>
    <xdr:sp macro="" textlink="">
      <xdr:nvSpPr>
        <xdr:cNvPr id="5" name="Rectangle 4">
          <a:hlinkClick xmlns:r="http://schemas.openxmlformats.org/officeDocument/2006/relationships" r:id="rId3"/>
          <a:extLst>
            <a:ext uri="{FF2B5EF4-FFF2-40B4-BE49-F238E27FC236}">
              <a16:creationId xmlns:a16="http://schemas.microsoft.com/office/drawing/2014/main" id="{926E470B-D682-412F-8335-2455D40665AC}"/>
            </a:ext>
          </a:extLst>
        </xdr:cNvPr>
        <xdr:cNvSpPr/>
      </xdr:nvSpPr>
      <xdr:spPr>
        <a:xfrm>
          <a:off x="6045713" y="23620306"/>
          <a:ext cx="2441062" cy="706544"/>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BE" sz="1800" b="1">
              <a:solidFill>
                <a:schemeClr val="tx1"/>
              </a:solidFill>
            </a:rPr>
            <a:t>Go to Table of Contents &amp;</a:t>
          </a:r>
          <a:r>
            <a:rPr lang="en-BE" sz="1800" b="1" baseline="0">
              <a:solidFill>
                <a:schemeClr val="tx1"/>
              </a:solidFill>
            </a:rPr>
            <a:t> Validation</a:t>
          </a:r>
        </a:p>
        <a:p>
          <a:pPr algn="l"/>
          <a:endParaRPr lang="en-BE" sz="1800" b="1">
            <a:solidFill>
              <a:schemeClr val="tx1"/>
            </a:solidFill>
          </a:endParaRPr>
        </a:p>
      </xdr:txBody>
    </xdr:sp>
    <xdr:clientData/>
  </xdr:twoCellAnchor>
  <xdr:twoCellAnchor>
    <xdr:from>
      <xdr:col>2</xdr:col>
      <xdr:colOff>1632</xdr:colOff>
      <xdr:row>111</xdr:row>
      <xdr:rowOff>82188</xdr:rowOff>
    </xdr:from>
    <xdr:to>
      <xdr:col>2</xdr:col>
      <xdr:colOff>2752725</xdr:colOff>
      <xdr:row>118</xdr:row>
      <xdr:rowOff>171451</xdr:rowOff>
    </xdr:to>
    <xdr:sp macro="" textlink="">
      <xdr:nvSpPr>
        <xdr:cNvPr id="6" name="Arrow: Left 5">
          <a:hlinkClick xmlns:r="http://schemas.openxmlformats.org/officeDocument/2006/relationships" r:id="rId4"/>
          <a:extLst>
            <a:ext uri="{FF2B5EF4-FFF2-40B4-BE49-F238E27FC236}">
              <a16:creationId xmlns:a16="http://schemas.microsoft.com/office/drawing/2014/main" id="{05D34B3E-7A7B-4C6A-ABAD-12F993B1167B}"/>
            </a:ext>
          </a:extLst>
        </xdr:cNvPr>
        <xdr:cNvSpPr/>
      </xdr:nvSpPr>
      <xdr:spPr>
        <a:xfrm>
          <a:off x="1373232" y="21437238"/>
          <a:ext cx="2751093" cy="1356088"/>
        </a:xfrm>
        <a:prstGeom prst="lef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General Information</a:t>
          </a:r>
        </a:p>
      </xdr:txBody>
    </xdr:sp>
    <xdr:clientData/>
  </xdr:twoCellAnchor>
  <xdr:twoCellAnchor>
    <xdr:from>
      <xdr:col>1</xdr:col>
      <xdr:colOff>682261</xdr:colOff>
      <xdr:row>121</xdr:row>
      <xdr:rowOff>60145</xdr:rowOff>
    </xdr:from>
    <xdr:to>
      <xdr:col>2</xdr:col>
      <xdr:colOff>2733674</xdr:colOff>
      <xdr:row>129</xdr:row>
      <xdr:rowOff>38101</xdr:rowOff>
    </xdr:to>
    <xdr:sp macro="" textlink="">
      <xdr:nvSpPr>
        <xdr:cNvPr id="7" name="Arrow: Left 6">
          <a:hlinkClick xmlns:r="http://schemas.openxmlformats.org/officeDocument/2006/relationships" r:id="rId5"/>
          <a:extLst>
            <a:ext uri="{FF2B5EF4-FFF2-40B4-BE49-F238E27FC236}">
              <a16:creationId xmlns:a16="http://schemas.microsoft.com/office/drawing/2014/main" id="{7A757C88-ADDE-437C-BBC5-46F7C62BF5E6}"/>
            </a:ext>
          </a:extLst>
        </xdr:cNvPr>
        <xdr:cNvSpPr/>
      </xdr:nvSpPr>
      <xdr:spPr>
        <a:xfrm>
          <a:off x="1368061" y="23224945"/>
          <a:ext cx="2737213" cy="1425756"/>
        </a:xfrm>
        <a:prstGeom prst="lef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Environmental Information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714376</xdr:colOff>
      <xdr:row>41</xdr:row>
      <xdr:rowOff>134249</xdr:rowOff>
    </xdr:from>
    <xdr:to>
      <xdr:col>7</xdr:col>
      <xdr:colOff>468631</xdr:colOff>
      <xdr:row>45</xdr:row>
      <xdr:rowOff>152400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8DC81852-B45D-4BA7-81E6-18451D6BACFB}"/>
            </a:ext>
          </a:extLst>
        </xdr:cNvPr>
        <xdr:cNvSpPr/>
      </xdr:nvSpPr>
      <xdr:spPr>
        <a:xfrm>
          <a:off x="5000626" y="9764024"/>
          <a:ext cx="3021330" cy="742051"/>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Introduction</a:t>
          </a:r>
        </a:p>
      </xdr:txBody>
    </xdr:sp>
    <xdr:clientData/>
  </xdr:twoCellAnchor>
  <xdr:twoCellAnchor>
    <xdr:from>
      <xdr:col>4</xdr:col>
      <xdr:colOff>771525</xdr:colOff>
      <xdr:row>51</xdr:row>
      <xdr:rowOff>85726</xdr:rowOff>
    </xdr:from>
    <xdr:to>
      <xdr:col>7</xdr:col>
      <xdr:colOff>456037</xdr:colOff>
      <xdr:row>55</xdr:row>
      <xdr:rowOff>134042</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BAFACF95-7662-4CC0-AA9A-C0846BB817A7}"/>
            </a:ext>
          </a:extLst>
        </xdr:cNvPr>
        <xdr:cNvSpPr/>
      </xdr:nvSpPr>
      <xdr:spPr>
        <a:xfrm>
          <a:off x="5057775" y="11525251"/>
          <a:ext cx="2951587" cy="772216"/>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BE" sz="1800" b="1">
              <a:solidFill>
                <a:schemeClr val="tx1"/>
              </a:solidFill>
            </a:rPr>
            <a:t>Go to Table of Contents &amp;</a:t>
          </a:r>
          <a:r>
            <a:rPr lang="en-BE" sz="1800" b="1" baseline="0">
              <a:solidFill>
                <a:schemeClr val="tx1"/>
              </a:solidFill>
            </a:rPr>
            <a:t> Validation</a:t>
          </a:r>
        </a:p>
        <a:p>
          <a:pPr algn="l"/>
          <a:endParaRPr lang="en-BE" sz="1800" b="1">
            <a:solidFill>
              <a:schemeClr val="tx1"/>
            </a:solidFill>
          </a:endParaRPr>
        </a:p>
      </xdr:txBody>
    </xdr:sp>
    <xdr:clientData/>
  </xdr:twoCellAnchor>
  <xdr:twoCellAnchor>
    <xdr:from>
      <xdr:col>1</xdr:col>
      <xdr:colOff>1196939</xdr:colOff>
      <xdr:row>39</xdr:row>
      <xdr:rowOff>104561</xdr:rowOff>
    </xdr:from>
    <xdr:to>
      <xdr:col>3</xdr:col>
      <xdr:colOff>325133</xdr:colOff>
      <xdr:row>47</xdr:row>
      <xdr:rowOff>143734</xdr:rowOff>
    </xdr:to>
    <xdr:sp macro="" textlink="">
      <xdr:nvSpPr>
        <xdr:cNvPr id="4" name="Arrow: Left 3">
          <a:hlinkClick xmlns:r="http://schemas.openxmlformats.org/officeDocument/2006/relationships" r:id="rId3"/>
          <a:extLst>
            <a:ext uri="{FF2B5EF4-FFF2-40B4-BE49-F238E27FC236}">
              <a16:creationId xmlns:a16="http://schemas.microsoft.com/office/drawing/2014/main" id="{D3F3F3FB-C055-40A4-8115-81157E182856}"/>
            </a:ext>
          </a:extLst>
        </xdr:cNvPr>
        <xdr:cNvSpPr/>
      </xdr:nvSpPr>
      <xdr:spPr>
        <a:xfrm>
          <a:off x="1892264" y="13049036"/>
          <a:ext cx="2728644" cy="1486973"/>
        </a:xfrm>
        <a:prstGeom prst="lef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General Information</a:t>
          </a:r>
        </a:p>
      </xdr:txBody>
    </xdr:sp>
    <xdr:clientData/>
  </xdr:twoCellAnchor>
  <xdr:twoCellAnchor>
    <xdr:from>
      <xdr:col>1</xdr:col>
      <xdr:colOff>1215989</xdr:colOff>
      <xdr:row>49</xdr:row>
      <xdr:rowOff>87759</xdr:rowOff>
    </xdr:from>
    <xdr:to>
      <xdr:col>3</xdr:col>
      <xdr:colOff>344183</xdr:colOff>
      <xdr:row>57</xdr:row>
      <xdr:rowOff>125754</xdr:rowOff>
    </xdr:to>
    <xdr:sp macro="" textlink="">
      <xdr:nvSpPr>
        <xdr:cNvPr id="6" name="Arrow: Left 5">
          <a:hlinkClick xmlns:r="http://schemas.openxmlformats.org/officeDocument/2006/relationships" r:id="rId4"/>
          <a:extLst>
            <a:ext uri="{FF2B5EF4-FFF2-40B4-BE49-F238E27FC236}">
              <a16:creationId xmlns:a16="http://schemas.microsoft.com/office/drawing/2014/main" id="{E467942C-2652-431A-9503-8B9538F436CF}"/>
            </a:ext>
          </a:extLst>
        </xdr:cNvPr>
        <xdr:cNvSpPr/>
      </xdr:nvSpPr>
      <xdr:spPr>
        <a:xfrm>
          <a:off x="1911314" y="14841984"/>
          <a:ext cx="2728644" cy="1485795"/>
        </a:xfrm>
        <a:prstGeom prst="lef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Environmental Information</a:t>
          </a:r>
        </a:p>
      </xdr:txBody>
    </xdr:sp>
    <xdr:clientData/>
  </xdr:twoCellAnchor>
  <xdr:twoCellAnchor>
    <xdr:from>
      <xdr:col>1</xdr:col>
      <xdr:colOff>1206464</xdr:colOff>
      <xdr:row>58</xdr:row>
      <xdr:rowOff>136454</xdr:rowOff>
    </xdr:from>
    <xdr:to>
      <xdr:col>3</xdr:col>
      <xdr:colOff>334658</xdr:colOff>
      <xdr:row>66</xdr:row>
      <xdr:rowOff>174449</xdr:rowOff>
    </xdr:to>
    <xdr:sp macro="" textlink="">
      <xdr:nvSpPr>
        <xdr:cNvPr id="7" name="Arrow: Left 6">
          <a:hlinkClick xmlns:r="http://schemas.openxmlformats.org/officeDocument/2006/relationships" r:id="rId5"/>
          <a:extLst>
            <a:ext uri="{FF2B5EF4-FFF2-40B4-BE49-F238E27FC236}">
              <a16:creationId xmlns:a16="http://schemas.microsoft.com/office/drawing/2014/main" id="{69FF6380-3005-4F74-92F9-46D52069ADDA}"/>
            </a:ext>
          </a:extLst>
        </xdr:cNvPr>
        <xdr:cNvSpPr/>
      </xdr:nvSpPr>
      <xdr:spPr>
        <a:xfrm>
          <a:off x="1901789" y="16519454"/>
          <a:ext cx="2728644" cy="1485795"/>
        </a:xfrm>
        <a:prstGeom prst="lef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Social Information</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xbrl.efrag.org/taxonomy/vsme/2025-07-30/vsme-all.xsd"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hyperlink" Target="https://xbrl.efrag.org/e-esrs/2024-12-17-efrag-vsme.xhtml" TargetMode="External"/><Relationship Id="rId18" Type="http://schemas.openxmlformats.org/officeDocument/2006/relationships/hyperlink" Target="https://xbrl.efrag.org/eng/interactive/vsme/vsme-guidance-annex-ii/2025-07-30-ec-rec/148" TargetMode="External"/><Relationship Id="rId26" Type="http://schemas.openxmlformats.org/officeDocument/2006/relationships/hyperlink" Target="https://xbrl.efrag.org/e-esrs/2024-12-17-efrag-vsme.xhtml" TargetMode="External"/><Relationship Id="rId39" Type="http://schemas.openxmlformats.org/officeDocument/2006/relationships/hyperlink" Target="https://xbrl.efrag.org/eng/interactive/vsme/vsme-guidance-annex-ii/2025-07-30-ec-rec/13" TargetMode="External"/><Relationship Id="rId21" Type="http://schemas.openxmlformats.org/officeDocument/2006/relationships/hyperlink" Target="https://xbrl.efrag.org/eng/interactive/vsme/vsme-standard-annex-i/2025-07-30-ec-rec/24/d" TargetMode="External"/><Relationship Id="rId34" Type="http://schemas.openxmlformats.org/officeDocument/2006/relationships/hyperlink" Target="https://xbrl.efrag.org/eng/interactive/vsme/vsme-standard-annex-i/2025-07-30-ec-rec/26-28" TargetMode="External"/><Relationship Id="rId42" Type="http://schemas.openxmlformats.org/officeDocument/2006/relationships/hyperlink" Target="https://xbrl.efrag.org/eng/interactive/vsme/vsme-guidance-annex-ii/2025-07-30-ec-rec/149" TargetMode="External"/><Relationship Id="rId47" Type="http://schemas.openxmlformats.org/officeDocument/2006/relationships/hyperlink" Target="https://xbrl.efrag.org/e-esrs/2024-12-17-efrag-vsme.xhtml" TargetMode="External"/><Relationship Id="rId50" Type="http://schemas.openxmlformats.org/officeDocument/2006/relationships/hyperlink" Target="https://xbrl.efrag.org/eng/interactive/vsme/vsme-guidance-annex-ii/2025-07-30-ec-rec/9-12" TargetMode="External"/><Relationship Id="rId7" Type="http://schemas.openxmlformats.org/officeDocument/2006/relationships/hyperlink" Target="https://xbrl.efrag.org/e-esrs/2024-12-17-efrag-vsme.xhtml" TargetMode="External"/><Relationship Id="rId2" Type="http://schemas.openxmlformats.org/officeDocument/2006/relationships/hyperlink" Target="https://xbrl.efrag.org/e-esrs/2024-12-17-efrag-vsme.xhtml" TargetMode="External"/><Relationship Id="rId16" Type="http://schemas.openxmlformats.org/officeDocument/2006/relationships/hyperlink" Target="https://xbrl.efrag.org/eng/interactive/vsme/vsme-standard-annex-i/2025-07-30-ec-rec/47/d" TargetMode="External"/><Relationship Id="rId29" Type="http://schemas.openxmlformats.org/officeDocument/2006/relationships/hyperlink" Target="https://xbrl.efrag.org/e-esrs/2024-12-17-efrag-vsme.xhtml" TargetMode="External"/><Relationship Id="rId11" Type="http://schemas.openxmlformats.org/officeDocument/2006/relationships/hyperlink" Target="https://xbrl.efrag.org/e-esrs/2024-12-17-efrag-vsme.xhtml" TargetMode="External"/><Relationship Id="rId24" Type="http://schemas.openxmlformats.org/officeDocument/2006/relationships/hyperlink" Target="https://xbrl.efrag.org/e-esrs/2024-12-17-efrag-vsme.xhtml" TargetMode="External"/><Relationship Id="rId32" Type="http://schemas.openxmlformats.org/officeDocument/2006/relationships/hyperlink" Target="https://xbrl.efrag.org/eng/interactive/vsme/vsme-standard-annex-i/2025-07-30-ec-rec/25" TargetMode="External"/><Relationship Id="rId37" Type="http://schemas.openxmlformats.org/officeDocument/2006/relationships/hyperlink" Target="https://xbrl.efrag.org/eng/interactive/vsme/vsme-guidance-annex-ii/2025-07-30-ec-rec/4" TargetMode="External"/><Relationship Id="rId40" Type="http://schemas.openxmlformats.org/officeDocument/2006/relationships/hyperlink" Target="https://xbrl.efrag.org/eng/interactive/vsme/vsme-guidance-annex-ii/2025-07-30-ec-rec/9-12" TargetMode="External"/><Relationship Id="rId45" Type="http://schemas.openxmlformats.org/officeDocument/2006/relationships/hyperlink" Target="https://xbrl.efrag.org/eng/interactive/vsme/vsme-standard-annex-i/2025-07-30-ec-rec/24/e/v" TargetMode="External"/><Relationship Id="rId5" Type="http://schemas.openxmlformats.org/officeDocument/2006/relationships/hyperlink" Target="https://xbrl.efrag.org/eng/interactive/vsme/vsme-standard-annex-i/2025-07-30-ec-rec/24/b" TargetMode="External"/><Relationship Id="rId15" Type="http://schemas.openxmlformats.org/officeDocument/2006/relationships/hyperlink" Target="https://xbrl.efrag.org/e-esrs/2024-12-17-efrag-vsme.xhtml" TargetMode="External"/><Relationship Id="rId23" Type="http://schemas.openxmlformats.org/officeDocument/2006/relationships/hyperlink" Target="https://xbrl.efrag.org/eng/interactive/vsme/vsme-standard-annex-i/2025-07-30-ec-rec/47/b" TargetMode="External"/><Relationship Id="rId28" Type="http://schemas.openxmlformats.org/officeDocument/2006/relationships/hyperlink" Target="https://xbrl.efrag.org/eng/interactive/vsme/vsme-guidance-annex-ii/2025-07-30-ec-rec/15" TargetMode="External"/><Relationship Id="rId36" Type="http://schemas.openxmlformats.org/officeDocument/2006/relationships/hyperlink" Target="https://xbrl.efrag.org/eng/interactive/vsme/vsme-standard-annex-i/2025-07-30-ec-rec/16" TargetMode="External"/><Relationship Id="rId49" Type="http://schemas.openxmlformats.org/officeDocument/2006/relationships/hyperlink" Target="https://xbrl.efrag.org/eng/interactive/vsme/vsme-guidance-annex-ii/2025-07-30-ec-rec/7-8" TargetMode="External"/><Relationship Id="rId10" Type="http://schemas.openxmlformats.org/officeDocument/2006/relationships/hyperlink" Target="https://xbrl.efrag.org/eng/interactive/vsme/vsme-standard-annex-i/2025-07-30-ec-rec/24/e/vi" TargetMode="External"/><Relationship Id="rId19" Type="http://schemas.openxmlformats.org/officeDocument/2006/relationships/hyperlink" Target="https://xbrl.efrag.org/eng/interactive/vsme/vsme-standard-annex-i/2025-07-30-ec-rec/47/c" TargetMode="External"/><Relationship Id="rId31" Type="http://schemas.openxmlformats.org/officeDocument/2006/relationships/hyperlink" Target="https://xbrl.efrag.org/eng/interactive/vsme/vsme-standard-annex-i/2025-07-30-ec-rec/24/e/ii" TargetMode="External"/><Relationship Id="rId44" Type="http://schemas.openxmlformats.org/officeDocument/2006/relationships/hyperlink" Target="https://xbrl.efrag.org/eng/interactive/vsme/vsme-standard-annex-i/2025-07-30-ec-rec/24/e/v" TargetMode="External"/><Relationship Id="rId52" Type="http://schemas.openxmlformats.org/officeDocument/2006/relationships/drawing" Target="../drawings/drawing2.xml"/><Relationship Id="rId4" Type="http://schemas.openxmlformats.org/officeDocument/2006/relationships/hyperlink" Target="https://xbrl.efrag.org/eng/interactive/vsme/vsme-standard-annex-i/2025-07-30-ec-rec/24/a" TargetMode="External"/><Relationship Id="rId9" Type="http://schemas.openxmlformats.org/officeDocument/2006/relationships/hyperlink" Target="https://xbrl.efrag.org/eng/interactive/vsme/vsme-standard-annex-i/2025-07-30-ec-rec/24/e/v" TargetMode="External"/><Relationship Id="rId14" Type="http://schemas.openxmlformats.org/officeDocument/2006/relationships/hyperlink" Target="https://xbrl.efrag.org/e-esrs/2024-12-17-efrag-vsme.xhtml" TargetMode="External"/><Relationship Id="rId22" Type="http://schemas.openxmlformats.org/officeDocument/2006/relationships/hyperlink" Target="https://xbrl.efrag.org/eng/interactive/vsme/vsme-standard-annex-i/2025-07-30-ec-rec/24/e/iii" TargetMode="External"/><Relationship Id="rId27" Type="http://schemas.openxmlformats.org/officeDocument/2006/relationships/hyperlink" Target="https://xbrl.efrag.org/eng/interactive/vsme/vsme-standard-annex-i/2025-07-30-ec-rec/49" TargetMode="External"/><Relationship Id="rId30" Type="http://schemas.openxmlformats.org/officeDocument/2006/relationships/hyperlink" Target="https://xbrl.efrag.org/eng/interactive/vsme/vsme-standard-annex-i/2025-07-30-ec-rec/24/e/i" TargetMode="External"/><Relationship Id="rId35" Type="http://schemas.openxmlformats.org/officeDocument/2006/relationships/hyperlink" Target="https://xbrl.efrag.org/eng/interactive/vsme/vsme-standard-annex-i/2025-07-30-ec-rec/48" TargetMode="External"/><Relationship Id="rId43" Type="http://schemas.openxmlformats.org/officeDocument/2006/relationships/hyperlink" Target="https://xbrl.efrag.org/eng/interactive/vsme/vsme-standard-annex-i/2025-07-30-ec-rec/10" TargetMode="External"/><Relationship Id="rId48" Type="http://schemas.openxmlformats.org/officeDocument/2006/relationships/hyperlink" Target="https://xbrl.efrag.org/eng/interactive/vsme/vsme-guidance-annex-ii/2025-07-30-ec-rec/7-8" TargetMode="External"/><Relationship Id="rId8" Type="http://schemas.openxmlformats.org/officeDocument/2006/relationships/hyperlink" Target="https://xbrl.efrag.org/eng/interactive/vsme/vsme-standard-annex-i/2025-07-30-ec-rec/24/e/iv" TargetMode="External"/><Relationship Id="rId51" Type="http://schemas.openxmlformats.org/officeDocument/2006/relationships/printerSettings" Target="../printerSettings/printerSettings2.bin"/><Relationship Id="rId3" Type="http://schemas.openxmlformats.org/officeDocument/2006/relationships/hyperlink" Target="https://xbrl.efrag.org/eng/interactive/vsme/vsme-guidance-annex-ii/2025-07-30-ec-rec/7-8" TargetMode="External"/><Relationship Id="rId12" Type="http://schemas.openxmlformats.org/officeDocument/2006/relationships/hyperlink" Target="https://xbrl.efrag.org/e-esrs/2024-12-17-efrag-vsme.xhtml" TargetMode="External"/><Relationship Id="rId17" Type="http://schemas.openxmlformats.org/officeDocument/2006/relationships/hyperlink" Target="https://xbrl.efrag.org/e-esrs/2024-12-17-efrag-vsme.xhtml" TargetMode="External"/><Relationship Id="rId25" Type="http://schemas.openxmlformats.org/officeDocument/2006/relationships/hyperlink" Target="https://xbrl.efrag.org/e-esrs/2024-12-17-efrag-vsme.xhtml" TargetMode="External"/><Relationship Id="rId33" Type="http://schemas.openxmlformats.org/officeDocument/2006/relationships/hyperlink" Target="https://xbrl.efrag.org/eng/interactive/vsme/vsme-standard-annex-i/2025-07-30-ec-rec/24/e/vii" TargetMode="External"/><Relationship Id="rId38" Type="http://schemas.openxmlformats.org/officeDocument/2006/relationships/hyperlink" Target="https://xbrl.efrag.org/eng/interactive/vsme/vsme-guidance-annex-ii/2025-07-30-ec-rec/5-6" TargetMode="External"/><Relationship Id="rId46" Type="http://schemas.openxmlformats.org/officeDocument/2006/relationships/hyperlink" Target="https://xbrl.efrag.org/e-esrs/2024-12-17-efrag-vsme.xhtml" TargetMode="External"/><Relationship Id="rId20" Type="http://schemas.openxmlformats.org/officeDocument/2006/relationships/hyperlink" Target="https://xbrl.efrag.org/eng/interactive/vsme/vsme-standard-annex-i/2025-07-30-ec-rec/47/a" TargetMode="External"/><Relationship Id="rId41" Type="http://schemas.openxmlformats.org/officeDocument/2006/relationships/hyperlink" Target="https://xbrl.efrag.org/eng/interactive/vsme/vsme-guidance-annex-ii/2025-07-30-ec-rec/14-16" TargetMode="External"/><Relationship Id="rId1" Type="http://schemas.openxmlformats.org/officeDocument/2006/relationships/hyperlink" Target="https://xbrl.efrag.org/e-esrs/2024-12-17-efrag-vsme.xhtml" TargetMode="External"/><Relationship Id="rId6" Type="http://schemas.openxmlformats.org/officeDocument/2006/relationships/hyperlink" Target="https://xbrl.efrag.org/eng/interactive/vsme/vsme-standard-annex-i/2025-07-30-ec-rec/24/c"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xbrl.efrag.org/e-esrs/2024-12-17-efrag-vsme.xhtml" TargetMode="External"/><Relationship Id="rId21" Type="http://schemas.openxmlformats.org/officeDocument/2006/relationships/hyperlink" Target="https://xbrl.efrag.org/eng/interactive/vsme/vsme-standard-annex-i/2025-07-30-ec-rec/57/d" TargetMode="External"/><Relationship Id="rId42" Type="http://schemas.openxmlformats.org/officeDocument/2006/relationships/hyperlink" Target="https://xbrl.efrag.org/eng/interactive/vsme/vsme-standard-annex-i/2025-07-30-ec-rec/36" TargetMode="External"/><Relationship Id="rId47" Type="http://schemas.openxmlformats.org/officeDocument/2006/relationships/hyperlink" Target="https://xbrl.efrag.org/eng/interactive/vsme/vsme-standard-annex-i/2025-07-30-ec-rec/54/e" TargetMode="External"/><Relationship Id="rId63" Type="http://schemas.openxmlformats.org/officeDocument/2006/relationships/hyperlink" Target="https://xbrl.efrag.org/eng/interactive/vsme/vsme-guidance-annex-ii/2025-07-30-ec-rec/152-158" TargetMode="External"/><Relationship Id="rId68" Type="http://schemas.openxmlformats.org/officeDocument/2006/relationships/hyperlink" Target="https://xbrl.efrag.org/eng/interactive/vsme/vsme-guidance-annex-ii/2025-07-30-ec-rec/70-73" TargetMode="External"/><Relationship Id="rId84" Type="http://schemas.openxmlformats.org/officeDocument/2006/relationships/hyperlink" Target="https://xbrl.efrag.org/eng/interactive/vsme/vsme-guidance-annex-ii/2025-07-30-ec-rec/164-166" TargetMode="External"/><Relationship Id="rId16" Type="http://schemas.openxmlformats.org/officeDocument/2006/relationships/hyperlink" Target="https://xbrl.efrag.org/e-esrs/2024-12-17-efrag-vsme.xhtml" TargetMode="External"/><Relationship Id="rId11" Type="http://schemas.openxmlformats.org/officeDocument/2006/relationships/hyperlink" Target="https://xbrl.efrag.org/e-esrs/2024-12-17-efrag-vsme.xhtml" TargetMode="External"/><Relationship Id="rId32" Type="http://schemas.openxmlformats.org/officeDocument/2006/relationships/hyperlink" Target="https://xbrl.efrag.org/e-esrs/2024-12-17-efrag-vsme.xhtml" TargetMode="External"/><Relationship Id="rId37" Type="http://schemas.openxmlformats.org/officeDocument/2006/relationships/hyperlink" Target="https://xbrl.efrag.org/eng/interactive/vsme/vsme-standard-annex-i/2025-07-30-ec-rec/54/d" TargetMode="External"/><Relationship Id="rId53" Type="http://schemas.openxmlformats.org/officeDocument/2006/relationships/hyperlink" Target="https://xbrl.efrag.org/eng/interactive/vsme/vsme-standard-annex-i/2025-07-30-ec-rec/35" TargetMode="External"/><Relationship Id="rId58" Type="http://schemas.openxmlformats.org/officeDocument/2006/relationships/hyperlink" Target="https://xbrl.efrag.org/eng/interactive/vsme/vsme-guidance-annex-ii/2025-07-30-ec-rec/18-25" TargetMode="External"/><Relationship Id="rId74" Type="http://schemas.openxmlformats.org/officeDocument/2006/relationships/hyperlink" Target="https://xbrl.efrag.org/eng/interactive/vsme/vsme-guidance-annex-ii/2025-07-30-ec-rec/108-109" TargetMode="External"/><Relationship Id="rId79" Type="http://schemas.openxmlformats.org/officeDocument/2006/relationships/hyperlink" Target="https://xbrl.efrag.org/eng/interactive/vsme/vsme-guidance-annex-ii/2025-07-30-ec-rec/164-166" TargetMode="External"/><Relationship Id="rId5" Type="http://schemas.openxmlformats.org/officeDocument/2006/relationships/hyperlink" Target="https://xbrl.efrag.org/e-esrs/2024-12-17-efrag-vsme.xhtml" TargetMode="External"/><Relationship Id="rId19" Type="http://schemas.openxmlformats.org/officeDocument/2006/relationships/hyperlink" Target="https://xbrl.efrag.org/eng/interactive/vsme/vsme-standard-annex-i/2025-07-30-ec-rec/57/b" TargetMode="External"/><Relationship Id="rId14" Type="http://schemas.openxmlformats.org/officeDocument/2006/relationships/hyperlink" Target="https://xbrl.efrag.org/e-esrs/2024-12-17-efrag-vsme.xhtml" TargetMode="External"/><Relationship Id="rId22" Type="http://schemas.openxmlformats.org/officeDocument/2006/relationships/hyperlink" Target="https://xbrl.efrag.org/eng/interactive/vsme/vsme-standard-annex-i/2025-07-30-ec-rec/58" TargetMode="External"/><Relationship Id="rId27" Type="http://schemas.openxmlformats.org/officeDocument/2006/relationships/hyperlink" Target="https://xbrl.efrag.org/e-esrs/2024-12-17-efrag-vsme.xhtml" TargetMode="External"/><Relationship Id="rId30" Type="http://schemas.openxmlformats.org/officeDocument/2006/relationships/hyperlink" Target="https://xbrl.efrag.org/e-esrs/2024-12-17-efrag-vsme.xhtml" TargetMode="External"/><Relationship Id="rId35" Type="http://schemas.openxmlformats.org/officeDocument/2006/relationships/hyperlink" Target="https://xbrl.efrag.org/e-esrs/2024-12-17-efrag-vsme.xhtml" TargetMode="External"/><Relationship Id="rId43" Type="http://schemas.openxmlformats.org/officeDocument/2006/relationships/hyperlink" Target="https://xbrl.efrag.org/eng/interactive/vsme/vsme-standard-annex-i/2025-07-30-ec-rec/29" TargetMode="External"/><Relationship Id="rId48" Type="http://schemas.openxmlformats.org/officeDocument/2006/relationships/hyperlink" Target="https://xbrl.efrag.org/eng/interactive/vsme/vsme-standard-annex-i/2025-07-30-ec-rec/56" TargetMode="External"/><Relationship Id="rId56" Type="http://schemas.openxmlformats.org/officeDocument/2006/relationships/hyperlink" Target="https://xbrl.efrag.org/eng/interactive/vsme/vsme-standard-annex-i/2025-07-30-ec-rec/38/c" TargetMode="External"/><Relationship Id="rId64" Type="http://schemas.openxmlformats.org/officeDocument/2006/relationships/hyperlink" Target="https://xbrl.efrag.org/eng/interactive/vsme/vsme-guidance-annex-ii/2025-07-30-ec-rec/150-151" TargetMode="External"/><Relationship Id="rId69" Type="http://schemas.openxmlformats.org/officeDocument/2006/relationships/hyperlink" Target="https://xbrl.efrag.org/eng/interactive/vsme/vsme-guidance-annex-ii/2025-07-30-ec-rec/74-76" TargetMode="External"/><Relationship Id="rId77" Type="http://schemas.openxmlformats.org/officeDocument/2006/relationships/hyperlink" Target="https://xbrl.efrag.org/e-esrs/2024-12-17-efrag-vsme.xhtml" TargetMode="External"/><Relationship Id="rId8" Type="http://schemas.openxmlformats.org/officeDocument/2006/relationships/hyperlink" Target="https://xbrl.efrag.org/e-esrs/2024-12-17-efrag-vsme.xhtml" TargetMode="External"/><Relationship Id="rId51" Type="http://schemas.openxmlformats.org/officeDocument/2006/relationships/hyperlink" Target="https://xbrl.efrag.org/eng/interactive/vsme/vsme-standard-annex-i/2025-07-30-ec-rec/33" TargetMode="External"/><Relationship Id="rId72" Type="http://schemas.openxmlformats.org/officeDocument/2006/relationships/hyperlink" Target="https://xbrl.efrag.org/eng/interactive/vsme/vsme-guidance-annex-ii/2025-07-30-ec-rec/94" TargetMode="External"/><Relationship Id="rId80" Type="http://schemas.openxmlformats.org/officeDocument/2006/relationships/hyperlink" Target="https://xbrl.efrag.org/eng/interactive/vsme/vsme-guidance-annex-ii/2025-07-30-ec-rec/160-163" TargetMode="External"/><Relationship Id="rId85" Type="http://schemas.openxmlformats.org/officeDocument/2006/relationships/printerSettings" Target="../printerSettings/printerSettings3.bin"/><Relationship Id="rId3" Type="http://schemas.openxmlformats.org/officeDocument/2006/relationships/hyperlink" Target="https://xbrl.efrag.org/e-esrs/2024-12-17-efrag-vsme.xhtml" TargetMode="External"/><Relationship Id="rId12" Type="http://schemas.openxmlformats.org/officeDocument/2006/relationships/hyperlink" Target="https://xbrl.efrag.org/e-esrs/2024-12-17-efrag-vsme.xhtml" TargetMode="External"/><Relationship Id="rId17" Type="http://schemas.openxmlformats.org/officeDocument/2006/relationships/hyperlink" Target="https://xbrl.efrag.org/e-esrs/2024-12-17-efrag-vsme.xhtml" TargetMode="External"/><Relationship Id="rId25" Type="http://schemas.openxmlformats.org/officeDocument/2006/relationships/hyperlink" Target="https://xbrl.efrag.org/e-esrs/2024-12-17-efrag-vsme.xhtml" TargetMode="External"/><Relationship Id="rId33" Type="http://schemas.openxmlformats.org/officeDocument/2006/relationships/hyperlink" Target="https://xbrl.efrag.org/e-esrs/2024-12-17-efrag-vsme.xhtml" TargetMode="External"/><Relationship Id="rId38" Type="http://schemas.openxmlformats.org/officeDocument/2006/relationships/hyperlink" Target="https://xbrl.efrag.org/e-esrs/2024-12-17-efrag-vsme.xhtml" TargetMode="External"/><Relationship Id="rId46" Type="http://schemas.openxmlformats.org/officeDocument/2006/relationships/hyperlink" Target="https://xbrl.efrag.org/eng/interactive/vsme/vsme-standard-annex-i/2025-07-30-ec-rec/50-53" TargetMode="External"/><Relationship Id="rId59" Type="http://schemas.openxmlformats.org/officeDocument/2006/relationships/hyperlink" Target="https://xbrl.efrag.org/eng/interactive/vsme/vsme-guidance-annex-ii/2025-07-30-ec-rec/18-25" TargetMode="External"/><Relationship Id="rId67" Type="http://schemas.openxmlformats.org/officeDocument/2006/relationships/hyperlink" Target="https://xbrl.efrag.org/eng/interactive/vsme/vsme-guidance-annex-ii/2025-07-30-ec-rec/46-69" TargetMode="External"/><Relationship Id="rId20" Type="http://schemas.openxmlformats.org/officeDocument/2006/relationships/hyperlink" Target="https://xbrl.efrag.org/eng/interactive/vsme/vsme-standard-annex-i/2025-07-30-ec-rec/57/c" TargetMode="External"/><Relationship Id="rId41" Type="http://schemas.openxmlformats.org/officeDocument/2006/relationships/hyperlink" Target="https://xbrl.efrag.org/eng/interactive/vsme/vsme-guidance-annex-ii/2025-07-30-ec-rec/160-163" TargetMode="External"/><Relationship Id="rId54" Type="http://schemas.openxmlformats.org/officeDocument/2006/relationships/hyperlink" Target="https://xbrl.efrag.org/eng/interactive/vsme/vsme-standard-annex-i/2025-07-30-ec-rec/37" TargetMode="External"/><Relationship Id="rId62" Type="http://schemas.openxmlformats.org/officeDocument/2006/relationships/hyperlink" Target="https://xbrl.efrag.org/eng/interactive/vsme/vsme-guidance-annex-ii/2025-07-30-ec-rec/152-158" TargetMode="External"/><Relationship Id="rId70" Type="http://schemas.openxmlformats.org/officeDocument/2006/relationships/hyperlink" Target="https://xbrl.efrag.org/eng/interactive/vsme/vsme-guidance-annex-ii/2025-07-30-ec-rec/91-93" TargetMode="External"/><Relationship Id="rId75" Type="http://schemas.openxmlformats.org/officeDocument/2006/relationships/hyperlink" Target="https://xbrl.efrag.org/eng/interactive/vsme/vsme-standard-annex-i/2025-07-30-ec-rec/55" TargetMode="External"/><Relationship Id="rId83" Type="http://schemas.openxmlformats.org/officeDocument/2006/relationships/hyperlink" Target="https://xbrl.efrag.org/eng/interactive/vsme/vsme-guidance-annex-ii/2025-07-30-ec-rec/164-166" TargetMode="External"/><Relationship Id="rId1" Type="http://schemas.openxmlformats.org/officeDocument/2006/relationships/hyperlink" Target="https://xbrl.efrag.org/e-esrs/2024-12-17-efrag-vsme.xhtml" TargetMode="External"/><Relationship Id="rId6" Type="http://schemas.openxmlformats.org/officeDocument/2006/relationships/hyperlink" Target="https://xbrl.efrag.org/eng/interactive/vsme/vsme-standard-annex-i/2025-07-30-ec-rec/54/a" TargetMode="External"/><Relationship Id="rId15" Type="http://schemas.openxmlformats.org/officeDocument/2006/relationships/hyperlink" Target="https://xbrl.efrag.org/e-esrs/2024-12-17-efrag-vsme.xhtml" TargetMode="External"/><Relationship Id="rId23" Type="http://schemas.openxmlformats.org/officeDocument/2006/relationships/hyperlink" Target="https://xbrl.efrag.org/eng/interactive/vsme/vsme-guidance-annex-ii/2025-07-30-ec-rec/164-166" TargetMode="External"/><Relationship Id="rId28" Type="http://schemas.openxmlformats.org/officeDocument/2006/relationships/hyperlink" Target="https://xbrl.efrag.org/e-esrs/2024-12-17-efrag-vsme.xhtml" TargetMode="External"/><Relationship Id="rId36" Type="http://schemas.openxmlformats.org/officeDocument/2006/relationships/hyperlink" Target="https://xbrl.efrag.org/e-esrs/2024-12-17-efrag-vsme.xhtml" TargetMode="External"/><Relationship Id="rId49" Type="http://schemas.openxmlformats.org/officeDocument/2006/relationships/hyperlink" Target="https://xbrl.efrag.org/eng/interactive/vsme/vsme-standard-annex-i/2025-07-30-ec-rec/31" TargetMode="External"/><Relationship Id="rId57" Type="http://schemas.openxmlformats.org/officeDocument/2006/relationships/hyperlink" Target="https://xbrl.efrag.org/eng/interactive/vsme/vsme-standard-annex-i/2025-07-30-ec-rec/10" TargetMode="External"/><Relationship Id="rId10" Type="http://schemas.openxmlformats.org/officeDocument/2006/relationships/hyperlink" Target="https://xbrl.efrag.org/e-esrs/2024-12-17-efrag-vsme.xhtml" TargetMode="External"/><Relationship Id="rId31" Type="http://schemas.openxmlformats.org/officeDocument/2006/relationships/hyperlink" Target="https://xbrl.efrag.org/e-esrs/2024-12-17-efrag-vsme.xhtml" TargetMode="External"/><Relationship Id="rId44" Type="http://schemas.openxmlformats.org/officeDocument/2006/relationships/hyperlink" Target="https://xbrl.efrag.org/eng/interactive/vsme/vsme-standard-annex-i/2025-07-30-ec-rec/30" TargetMode="External"/><Relationship Id="rId52" Type="http://schemas.openxmlformats.org/officeDocument/2006/relationships/hyperlink" Target="https://xbrl.efrag.org/eng/interactive/vsme/vsme-standard-annex-i/2025-07-30-ec-rec/34" TargetMode="External"/><Relationship Id="rId60" Type="http://schemas.openxmlformats.org/officeDocument/2006/relationships/hyperlink" Target="https://xbrl.efrag.org/eng/interactive/vsme/vsme-guidance-annex-ii/2025-07-30-ec-rec/26-45" TargetMode="External"/><Relationship Id="rId65" Type="http://schemas.openxmlformats.org/officeDocument/2006/relationships/hyperlink" Target="https://xbrl.efrag.org/eng/interactive/vsme/vsme-guidance-annex-ii/2025-07-30-ec-rec/159" TargetMode="External"/><Relationship Id="rId73" Type="http://schemas.openxmlformats.org/officeDocument/2006/relationships/hyperlink" Target="https://xbrl.efrag.org/eng/interactive/vsme/vsme-guidance-annex-ii/2025-07-30-ec-rec/95-107" TargetMode="External"/><Relationship Id="rId78" Type="http://schemas.openxmlformats.org/officeDocument/2006/relationships/hyperlink" Target="https://xbrl.efrag.org/eng/interactive/vsme/vsme-standard-annex-i/2025-07-30-ec-rec/29" TargetMode="External"/><Relationship Id="rId81" Type="http://schemas.openxmlformats.org/officeDocument/2006/relationships/hyperlink" Target="https://xbrl.efrag.org/eng/interactive/vsme/vsme-guidance-annex-ii/2025-07-30-ec-rec/160-163" TargetMode="External"/><Relationship Id="rId86" Type="http://schemas.openxmlformats.org/officeDocument/2006/relationships/drawing" Target="../drawings/drawing3.xml"/><Relationship Id="rId4" Type="http://schemas.openxmlformats.org/officeDocument/2006/relationships/hyperlink" Target="https://xbrl.efrag.org/e-esrs/2024-12-17-efrag-vsme.xhtml" TargetMode="External"/><Relationship Id="rId9" Type="http://schemas.openxmlformats.org/officeDocument/2006/relationships/hyperlink" Target="https://xbrl.efrag.org/e-esrs/2024-12-17-efrag-vsme.xhtml" TargetMode="External"/><Relationship Id="rId13" Type="http://schemas.openxmlformats.org/officeDocument/2006/relationships/hyperlink" Target="https://xbrl.efrag.org/e-esrs/2024-12-17-efrag-vsme.xhtml" TargetMode="External"/><Relationship Id="rId18" Type="http://schemas.openxmlformats.org/officeDocument/2006/relationships/hyperlink" Target="https://xbrl.efrag.org/eng/interactive/vsme/vsme-standard-annex-i/2025-07-30-ec-rec/57/a" TargetMode="External"/><Relationship Id="rId39" Type="http://schemas.openxmlformats.org/officeDocument/2006/relationships/hyperlink" Target="https://xbrl.efrag.org/e-esrs/2024-12-17-efrag-vsme.xhtml" TargetMode="External"/><Relationship Id="rId34" Type="http://schemas.openxmlformats.org/officeDocument/2006/relationships/hyperlink" Target="https://xbrl.efrag.org/e-esrs/2024-12-17-efrag-vsme.xhtml" TargetMode="External"/><Relationship Id="rId50" Type="http://schemas.openxmlformats.org/officeDocument/2006/relationships/hyperlink" Target="https://xbrl.efrag.org/eng/interactive/vsme/vsme-standard-annex-i/2025-07-30-ec-rec/32" TargetMode="External"/><Relationship Id="rId55" Type="http://schemas.openxmlformats.org/officeDocument/2006/relationships/hyperlink" Target="https://xbrl.efrag.org/eng/interactive/vsme/vsme-standard-annex-i/2025-07-30-ec-rec/38/a-b" TargetMode="External"/><Relationship Id="rId76" Type="http://schemas.openxmlformats.org/officeDocument/2006/relationships/hyperlink" Target="https://xbrl.efrag.org/eng/interactive/vsme/vsme-standard-annex-i/2025-07-30-ec-rec/55" TargetMode="External"/><Relationship Id="rId7" Type="http://schemas.openxmlformats.org/officeDocument/2006/relationships/hyperlink" Target="https://xbrl.efrag.org/e-esrs/2024-12-17-efrag-vsme.xhtml" TargetMode="External"/><Relationship Id="rId71" Type="http://schemas.openxmlformats.org/officeDocument/2006/relationships/hyperlink" Target="https://xbrl.efrag.org/eng/interactive/vsme/vsme-guidance-annex-ii/2025-07-30-ec-rec/77-90" TargetMode="External"/><Relationship Id="rId2" Type="http://schemas.openxmlformats.org/officeDocument/2006/relationships/hyperlink" Target="https://xbrl.efrag.org/e-esrs/2024-12-17-efrag-vsme.xhtml" TargetMode="External"/><Relationship Id="rId29" Type="http://schemas.openxmlformats.org/officeDocument/2006/relationships/hyperlink" Target="https://xbrl.efrag.org/e-esrs/2024-12-17-efrag-vsme.xhtml" TargetMode="External"/><Relationship Id="rId24" Type="http://schemas.openxmlformats.org/officeDocument/2006/relationships/hyperlink" Target="https://xbrl.efrag.org/eng/interactive/vsme/vsme-standard-annex-i/2025-07-30-ec-rec/54/d" TargetMode="External"/><Relationship Id="rId40" Type="http://schemas.openxmlformats.org/officeDocument/2006/relationships/hyperlink" Target="https://xbrl.efrag.org/eng/interactive/vsme/vsme-standard-annex-i/2025-07-30-ec-rec/55" TargetMode="External"/><Relationship Id="rId45" Type="http://schemas.openxmlformats.org/officeDocument/2006/relationships/hyperlink" Target="https://xbrl.efrag.org/eng/interactive/vsme/vsme-standard-annex-i/2025-07-30-ec-rec/54/b" TargetMode="External"/><Relationship Id="rId66" Type="http://schemas.openxmlformats.org/officeDocument/2006/relationships/hyperlink" Target="https://knowledgehub.efrag.org/eng/interactive/vsme/vsme-guidance-annex-ii/2025-07-30-ec-rec/160-163" TargetMode="External"/><Relationship Id="rId61" Type="http://schemas.openxmlformats.org/officeDocument/2006/relationships/hyperlink" Target="https://xbrl.efrag.org/eng/interactive/vsme/vsme-guidance-annex-ii/2025-07-30-ec-rec/152-158" TargetMode="External"/><Relationship Id="rId82" Type="http://schemas.openxmlformats.org/officeDocument/2006/relationships/hyperlink" Target="https://xbrl.efrag.org/eng/interactive/vsme/vsme-guidance-annex-ii/2025-07-30-ec-rec/164-166"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xbrl.efrag.org/eng/interactive/vsme/vsme-guidance-annex-ii/2025-07-30-ec-rec/174" TargetMode="External"/><Relationship Id="rId21" Type="http://schemas.openxmlformats.org/officeDocument/2006/relationships/hyperlink" Target="https://xbrl.efrag.org/eng/interactive/vsme/vsme-standard-annex-i/2025-07-30-ec-rec/61/a" TargetMode="External"/><Relationship Id="rId42" Type="http://schemas.openxmlformats.org/officeDocument/2006/relationships/hyperlink" Target="https://xbrl.efrag.org/eng/interactive/vsme/vsme-guidance-annex-ii/2025-07-30-ec-rec/110-117" TargetMode="External"/><Relationship Id="rId47" Type="http://schemas.openxmlformats.org/officeDocument/2006/relationships/hyperlink" Target="https://xbrl.efrag.org/eng/interactive/vsme/vsme-standard-annex-i/2025-07-30-ec-rec/41/a" TargetMode="External"/><Relationship Id="rId63" Type="http://schemas.openxmlformats.org/officeDocument/2006/relationships/hyperlink" Target="https://xbrl.efrag.org/eng/interactive/vsme/vsme-standard-annex-i/2025-07-30-ec-rec/62/a" TargetMode="External"/><Relationship Id="rId68" Type="http://schemas.openxmlformats.org/officeDocument/2006/relationships/hyperlink" Target="https://xbrl.efrag.org/eng/interactive/vsme/vsme-guidance-annex-ii/2025-07-30-ec-rec/173" TargetMode="External"/><Relationship Id="rId84" Type="http://schemas.openxmlformats.org/officeDocument/2006/relationships/hyperlink" Target="https://xbrl.efrag.org/eng/interactive/vsme/vsme-guidance-annex-ii/2025-07-30-ec-rec/174" TargetMode="External"/><Relationship Id="rId89" Type="http://schemas.openxmlformats.org/officeDocument/2006/relationships/hyperlink" Target="https://xbrl.efrag.org/eng/interactive/vsme/vsme-guidance-annex-ii/2025-07-30-ec-rec/119-126" TargetMode="External"/><Relationship Id="rId16" Type="http://schemas.openxmlformats.org/officeDocument/2006/relationships/hyperlink" Target="https://xbrl.efrag.org/e-esrs/2024-12-17-efrag-vsme.xhtml" TargetMode="External"/><Relationship Id="rId11" Type="http://schemas.openxmlformats.org/officeDocument/2006/relationships/hyperlink" Target="https://xbrl.efrag.org/eng/interactive/vsme/vsme-standard-annex-i/2025-07-30-ec-rec/42/a" TargetMode="External"/><Relationship Id="rId32" Type="http://schemas.openxmlformats.org/officeDocument/2006/relationships/hyperlink" Target="https://xbrl.efrag.org/eng/interactive/vsme/vsme-standard-annex-i/2025-07-30-ec-rec/39/b" TargetMode="External"/><Relationship Id="rId37" Type="http://schemas.openxmlformats.org/officeDocument/2006/relationships/hyperlink" Target="https://xbrl.efrag.org/eng/interactive/vsme/vsme-standard-annex-i/2025-07-30-ec-rec/42/c" TargetMode="External"/><Relationship Id="rId53" Type="http://schemas.openxmlformats.org/officeDocument/2006/relationships/hyperlink" Target="https://xbrl.efrag.org/eng/interactive/vsme/vsme-standard-annex-i/2025-07-30-ec-rec/59" TargetMode="External"/><Relationship Id="rId58" Type="http://schemas.openxmlformats.org/officeDocument/2006/relationships/hyperlink" Target="https://xbrl.efrag.org/eng/interactive/vsme/vsme-standard-annex-i/2025-07-30-ec-rec/61/b" TargetMode="External"/><Relationship Id="rId74" Type="http://schemas.openxmlformats.org/officeDocument/2006/relationships/hyperlink" Target="https://xbrl.efrag.org/eng/interactive/vsme/vsme-guidance-annex-ii/2025-07-30-ec-rec/173" TargetMode="External"/><Relationship Id="rId79" Type="http://schemas.openxmlformats.org/officeDocument/2006/relationships/hyperlink" Target="https://xbrl.efrag.org/eng/interactive/vsme/vsme-guidance-annex-ii/2025-07-30-ec-rec/174" TargetMode="External"/><Relationship Id="rId5" Type="http://schemas.openxmlformats.org/officeDocument/2006/relationships/hyperlink" Target="https://xbrl.efrag.org/e-esrs/2024-12-17-efrag-vsme.xhtml" TargetMode="External"/><Relationship Id="rId90" Type="http://schemas.openxmlformats.org/officeDocument/2006/relationships/hyperlink" Target="https://xbrl.efrag.org/eng/interactive/vsme/vsme-guidance-annex-ii/2025-07-30-ec-rec/129-136" TargetMode="External"/><Relationship Id="rId95" Type="http://schemas.openxmlformats.org/officeDocument/2006/relationships/drawing" Target="../drawings/drawing4.xml"/><Relationship Id="rId22" Type="http://schemas.openxmlformats.org/officeDocument/2006/relationships/hyperlink" Target="https://xbrl.efrag.org/eng/interactive/vsme/vsme-standard-annex-i/2025-07-30-ec-rec/61/b" TargetMode="External"/><Relationship Id="rId27" Type="http://schemas.openxmlformats.org/officeDocument/2006/relationships/hyperlink" Target="https://xbrl.efrag.org/eng/interactive/vsme/vsme-standard-annex-i/2025-07-30-ec-rec/62/a" TargetMode="External"/><Relationship Id="rId43" Type="http://schemas.openxmlformats.org/officeDocument/2006/relationships/hyperlink" Target="https://xbrl.efrag.org/eng/interactive/vsme/vsme-guidance-annex-ii/2025-07-30-ec-rec/110-117" TargetMode="External"/><Relationship Id="rId48" Type="http://schemas.openxmlformats.org/officeDocument/2006/relationships/hyperlink" Target="https://xbrl.efrag.org/eng/interactive/vsme/vsme-standard-annex-i/2025-07-30-ec-rec/41/a" TargetMode="External"/><Relationship Id="rId64" Type="http://schemas.openxmlformats.org/officeDocument/2006/relationships/hyperlink" Target="https://xbrl.efrag.org/eng/interactive/vsme/vsme-standard-annex-i/2025-07-30-ec-rec/62/a" TargetMode="External"/><Relationship Id="rId69" Type="http://schemas.openxmlformats.org/officeDocument/2006/relationships/hyperlink" Target="https://xbrl.efrag.org/eng/interactive/vsme/vsme-guidance-annex-ii/2025-07-30-ec-rec/173" TargetMode="External"/><Relationship Id="rId8" Type="http://schemas.openxmlformats.org/officeDocument/2006/relationships/hyperlink" Target="https://xbrl.efrag.org/e-esrs/2024-12-17-efrag-vsme.xhtml" TargetMode="External"/><Relationship Id="rId51" Type="http://schemas.openxmlformats.org/officeDocument/2006/relationships/hyperlink" Target="https://xbrl.efrag.org/eng/interactive/vsme/vsme-standard-annex-i/2025-07-30-ec-rec/42/b" TargetMode="External"/><Relationship Id="rId72" Type="http://schemas.openxmlformats.org/officeDocument/2006/relationships/hyperlink" Target="https://xbrl.efrag.org/eng/interactive/vsme/vsme-guidance-annex-ii/2025-07-30-ec-rec/173" TargetMode="External"/><Relationship Id="rId80" Type="http://schemas.openxmlformats.org/officeDocument/2006/relationships/hyperlink" Target="https://xbrl.efrag.org/eng/interactive/vsme/vsme-guidance-annex-ii/2025-07-30-ec-rec/174" TargetMode="External"/><Relationship Id="rId85" Type="http://schemas.openxmlformats.org/officeDocument/2006/relationships/hyperlink" Target="https://xbrl.efrag.org/eng/interactive/vsme/vsme-guidance-annex-ii/2025-07-30-ec-rec/174" TargetMode="External"/><Relationship Id="rId93" Type="http://schemas.openxmlformats.org/officeDocument/2006/relationships/hyperlink" Target="https://xbrl.efrag.org/eng/interactive/vsme/vsme-guidance-annex-ii/2025-07-30-ec-rec/167-169" TargetMode="External"/><Relationship Id="rId3" Type="http://schemas.openxmlformats.org/officeDocument/2006/relationships/hyperlink" Target="https://xbrl.efrag.org/e-esrs/2024-12-17-efrag-vsme.xhtml" TargetMode="External"/><Relationship Id="rId12" Type="http://schemas.openxmlformats.org/officeDocument/2006/relationships/hyperlink" Target="https://xbrl.efrag.org/e-esrs/2024-12-17-efrag-vsme.xhtml" TargetMode="External"/><Relationship Id="rId17" Type="http://schemas.openxmlformats.org/officeDocument/2006/relationships/hyperlink" Target="https://xbrl.efrag.org/eng/interactive/vsme/vsme-standard-annex-i/2025-07-30-ec-rec/59" TargetMode="External"/><Relationship Id="rId25" Type="http://schemas.openxmlformats.org/officeDocument/2006/relationships/hyperlink" Target="https://xbrl.efrag.org/eng/interactive/vsme/vsme-standard-annex-i/2025-07-30-ec-rec/62/c" TargetMode="External"/><Relationship Id="rId33" Type="http://schemas.openxmlformats.org/officeDocument/2006/relationships/hyperlink" Target="https://xbrl.efrag.org/eng/interactive/vsme/vsme-standard-annex-i/2025-07-30-ec-rec/39/c" TargetMode="External"/><Relationship Id="rId38" Type="http://schemas.openxmlformats.org/officeDocument/2006/relationships/hyperlink" Target="https://xbrl.efrag.org/eng/interactive/vsme/vsme-standard-annex-i/2025-07-30-ec-rec/42/d" TargetMode="External"/><Relationship Id="rId46" Type="http://schemas.openxmlformats.org/officeDocument/2006/relationships/hyperlink" Target="https://xbrl.efrag.org/eng/interactive/vsme/vsme-guidance-annex-ii/2025-07-30-ec-rec/137-140" TargetMode="External"/><Relationship Id="rId59" Type="http://schemas.openxmlformats.org/officeDocument/2006/relationships/hyperlink" Target="https://xbrl.efrag.org/eng/interactive/vsme/vsme-standard-annex-i/2025-07-30-ec-rec/61/b" TargetMode="External"/><Relationship Id="rId67" Type="http://schemas.openxmlformats.org/officeDocument/2006/relationships/hyperlink" Target="https://xbrl.efrag.org/eng/interactive/vsme/vsme-guidance-annex-ii/2025-07-30-ec-rec/119-126" TargetMode="External"/><Relationship Id="rId20" Type="http://schemas.openxmlformats.org/officeDocument/2006/relationships/hyperlink" Target="https://xbrl.efrag.org/eng/interactive/vsme/vsme-guidance-annex-ii/2025-07-30-ec-rec/170-172" TargetMode="External"/><Relationship Id="rId41" Type="http://schemas.openxmlformats.org/officeDocument/2006/relationships/hyperlink" Target="https://xbrl.efrag.org/eng/interactive/vsme/vsme-standard-annex-i/2025-07-30-ec-rec/10" TargetMode="External"/><Relationship Id="rId54" Type="http://schemas.openxmlformats.org/officeDocument/2006/relationships/hyperlink" Target="https://xbrl.efrag.org/eng/interactive/vsme/vsme-standard-annex-i/2025-07-30-ec-rec/61/b" TargetMode="External"/><Relationship Id="rId62" Type="http://schemas.openxmlformats.org/officeDocument/2006/relationships/hyperlink" Target="https://xbrl.efrag.org/eng/interactive/vsme/vsme-standard-annex-i/2025-07-30-ec-rec/62/a" TargetMode="External"/><Relationship Id="rId70" Type="http://schemas.openxmlformats.org/officeDocument/2006/relationships/hyperlink" Target="https://xbrl.efrag.org/eng/interactive/vsme/vsme-guidance-annex-ii/2025-07-30-ec-rec/173" TargetMode="External"/><Relationship Id="rId75" Type="http://schemas.openxmlformats.org/officeDocument/2006/relationships/hyperlink" Target="https://xbrl.efrag.org/eng/interactive/vsme/vsme-guidance-annex-ii/2025-07-30-ec-rec/173" TargetMode="External"/><Relationship Id="rId83" Type="http://schemas.openxmlformats.org/officeDocument/2006/relationships/hyperlink" Target="https://xbrl.efrag.org/eng/interactive/vsme/vsme-guidance-annex-ii/2025-07-30-ec-rec/174" TargetMode="External"/><Relationship Id="rId88" Type="http://schemas.openxmlformats.org/officeDocument/2006/relationships/hyperlink" Target="https://xbrl.efrag.org/eng/interactive/vsme/vsme-guidance-annex-ii/2025-07-30-ec-rec/119-126" TargetMode="External"/><Relationship Id="rId91" Type="http://schemas.openxmlformats.org/officeDocument/2006/relationships/hyperlink" Target="https://xbrl.efrag.org/eng/interactive/vsme/vsme-guidance-annex-ii/2025-07-30-ec-rec/129-136" TargetMode="External"/><Relationship Id="rId1" Type="http://schemas.openxmlformats.org/officeDocument/2006/relationships/hyperlink" Target="https://xbrl.efrag.org/e-esrs/2024-12-17-efrag-vsme.xhtml" TargetMode="External"/><Relationship Id="rId6" Type="http://schemas.openxmlformats.org/officeDocument/2006/relationships/hyperlink" Target="https://xbrl.efrag.org/e-esrs/2024-12-17-efrag-vsme.xhtml" TargetMode="External"/><Relationship Id="rId15" Type="http://schemas.openxmlformats.org/officeDocument/2006/relationships/hyperlink" Target="https://xbrl.efrag.org/eng/interactive/vsme/vsme-guidance-annex-ii/2025-07-30-ec-rec/129-136" TargetMode="External"/><Relationship Id="rId23" Type="http://schemas.openxmlformats.org/officeDocument/2006/relationships/hyperlink" Target="https://xbrl.efrag.org/eng/interactive/vsme/vsme-standard-annex-i/2025-07-30-ec-rec/61/c" TargetMode="External"/><Relationship Id="rId28" Type="http://schemas.openxmlformats.org/officeDocument/2006/relationships/hyperlink" Target="https://xbrl.efrag.org/eng/interactive/vsme/vsme-standard-annex-i/2025-07-30-ec-rec/62" TargetMode="External"/><Relationship Id="rId36" Type="http://schemas.openxmlformats.org/officeDocument/2006/relationships/hyperlink" Target="https://xbrl.efrag.org/eng/interactive/vsme/vsme-standard-annex-i/2025-07-30-ec-rec/42/b" TargetMode="External"/><Relationship Id="rId49" Type="http://schemas.openxmlformats.org/officeDocument/2006/relationships/hyperlink" Target="https://xbrl.efrag.org/eng/interactive/vsme/vsme-standard-annex-i/2025-07-30-ec-rec/41/a" TargetMode="External"/><Relationship Id="rId57" Type="http://schemas.openxmlformats.org/officeDocument/2006/relationships/hyperlink" Target="https://xbrl.efrag.org/eng/interactive/vsme/vsme-standard-annex-i/2025-07-30-ec-rec/61/b" TargetMode="External"/><Relationship Id="rId10" Type="http://schemas.openxmlformats.org/officeDocument/2006/relationships/hyperlink" Target="https://xbrl.efrag.org/eng/interactive/vsme/vsme-guidance-annex-ii/2025-07-30-ec-rec/119-126" TargetMode="External"/><Relationship Id="rId31" Type="http://schemas.openxmlformats.org/officeDocument/2006/relationships/hyperlink" Target="https://xbrl.efrag.org/eng/interactive/vsme/vsme-standard-annex-i/2025-07-30-ec-rec/39/a" TargetMode="External"/><Relationship Id="rId44" Type="http://schemas.openxmlformats.org/officeDocument/2006/relationships/hyperlink" Target="https://xbrl.efrag.org/eng/interactive/vsme/vsme-guidance-annex-ii/2025-07-30-ec-rec/110-117" TargetMode="External"/><Relationship Id="rId52" Type="http://schemas.openxmlformats.org/officeDocument/2006/relationships/hyperlink" Target="https://xbrl.efrag.org/eng/interactive/vsme/vsme-standard-annex-i/2025-07-30-ec-rec/59" TargetMode="External"/><Relationship Id="rId60" Type="http://schemas.openxmlformats.org/officeDocument/2006/relationships/hyperlink" Target="https://xbrl.efrag.org/eng/interactive/vsme/vsme-standard-annex-i/2025-07-30-ec-rec/61/b" TargetMode="External"/><Relationship Id="rId65" Type="http://schemas.openxmlformats.org/officeDocument/2006/relationships/hyperlink" Target="https://xbrl.efrag.org/eng/interactive/vsme/vsme-standard-annex-i/2025-07-30-ec-rec/62/a" TargetMode="External"/><Relationship Id="rId73" Type="http://schemas.openxmlformats.org/officeDocument/2006/relationships/hyperlink" Target="https://xbrl.efrag.org/eng/interactive/vsme/vsme-guidance-annex-ii/2025-07-30-ec-rec/173" TargetMode="External"/><Relationship Id="rId78" Type="http://schemas.openxmlformats.org/officeDocument/2006/relationships/hyperlink" Target="https://xbrl.efrag.org/eng/interactive/vsme/vsme-guidance-annex-ii/2025-07-30-ec-rec/174" TargetMode="External"/><Relationship Id="rId81" Type="http://schemas.openxmlformats.org/officeDocument/2006/relationships/hyperlink" Target="https://xbrl.efrag.org/eng/interactive/vsme/vsme-guidance-annex-ii/2025-07-30-ec-rec/174" TargetMode="External"/><Relationship Id="rId86" Type="http://schemas.openxmlformats.org/officeDocument/2006/relationships/hyperlink" Target="https://xbrl.efrag.org/eng/interactive/vsme/vsme-guidance-annex-ii/2025-07-30-ec-rec/174" TargetMode="External"/><Relationship Id="rId94" Type="http://schemas.openxmlformats.org/officeDocument/2006/relationships/hyperlink" Target="https://xbrl.efrag.org/eng/interactive/vsme/vsme-guidance-annex-ii/2025-07-30-ec-rec/167-169" TargetMode="External"/><Relationship Id="rId4" Type="http://schemas.openxmlformats.org/officeDocument/2006/relationships/hyperlink" Target="https://xbrl.efrag.org/e-esrs/2024-12-17-efrag-vsme.xhtml" TargetMode="External"/><Relationship Id="rId9" Type="http://schemas.openxmlformats.org/officeDocument/2006/relationships/hyperlink" Target="https://xbrl.efrag.org/eng/interactive/vsme/vsme-standard-annex-i/2025-07-30-ec-rec/41/a" TargetMode="External"/><Relationship Id="rId13" Type="http://schemas.openxmlformats.org/officeDocument/2006/relationships/hyperlink" Target="https://xbrl.efrag.org/eng/interactive/vsme/vsme-guidance-annex-ii/2025-07-30-ec-rec/127-128" TargetMode="External"/><Relationship Id="rId18" Type="http://schemas.openxmlformats.org/officeDocument/2006/relationships/hyperlink" Target="https://xbrl.efrag.org/eng/interactive/vsme/vsme-standard-annex-i/2025-07-30-ec-rec/60" TargetMode="External"/><Relationship Id="rId39" Type="http://schemas.openxmlformats.org/officeDocument/2006/relationships/hyperlink" Target="https://xbrl.efrag.org/eng/interactive/vsme/vsme-standard-annex-i/2025-07-30-ec-rec/60" TargetMode="External"/><Relationship Id="rId34" Type="http://schemas.openxmlformats.org/officeDocument/2006/relationships/hyperlink" Target="https://xbrl.efrag.org/eng/interactive/vsme/vsme-standard-annex-i/2025-07-30-ec-rec/40" TargetMode="External"/><Relationship Id="rId50" Type="http://schemas.openxmlformats.org/officeDocument/2006/relationships/hyperlink" Target="https://xbrl.efrag.org/eng/interactive/vsme/vsme-standard-annex-i/2025-07-30-ec-rec/42/b" TargetMode="External"/><Relationship Id="rId55" Type="http://schemas.openxmlformats.org/officeDocument/2006/relationships/hyperlink" Target="https://xbrl.efrag.org/eng/interactive/vsme/vsme-standard-annex-i/2025-07-30-ec-rec/61/b" TargetMode="External"/><Relationship Id="rId76" Type="http://schemas.openxmlformats.org/officeDocument/2006/relationships/hyperlink" Target="https://xbrl.efrag.org/eng/interactive/vsme/vsme-guidance-annex-ii/2025-07-30-ec-rec/173" TargetMode="External"/><Relationship Id="rId7" Type="http://schemas.openxmlformats.org/officeDocument/2006/relationships/hyperlink" Target="https://xbrl.efrag.org/e-esrs/2024-12-17-efrag-vsme.xhtml" TargetMode="External"/><Relationship Id="rId71" Type="http://schemas.openxmlformats.org/officeDocument/2006/relationships/hyperlink" Target="https://xbrl.efrag.org/eng/interactive/vsme/vsme-guidance-annex-ii/2025-07-30-ec-rec/173" TargetMode="External"/><Relationship Id="rId92" Type="http://schemas.openxmlformats.org/officeDocument/2006/relationships/hyperlink" Target="https://xbrl.efrag.org/eng/interactive/vsme/vsme-guidance-annex-ii/2025-07-30-ec-rec/170-172" TargetMode="External"/><Relationship Id="rId2" Type="http://schemas.openxmlformats.org/officeDocument/2006/relationships/hyperlink" Target="https://xbrl.efrag.org/e-esrs/2024-12-17-efrag-vsme.xhtml" TargetMode="External"/><Relationship Id="rId29" Type="http://schemas.openxmlformats.org/officeDocument/2006/relationships/hyperlink" Target="https://xbrl.efrag.org/eng/interactive/vsme/vsme-standard-annex-i/2025-07-30-ec-rec/62/b" TargetMode="External"/><Relationship Id="rId24" Type="http://schemas.openxmlformats.org/officeDocument/2006/relationships/hyperlink" Target="https://xbrl.efrag.org/eng/interactive/vsme/vsme-guidance-annex-ii/2025-07-30-ec-rec/173" TargetMode="External"/><Relationship Id="rId40" Type="http://schemas.openxmlformats.org/officeDocument/2006/relationships/hyperlink" Target="https://xbrl.efrag.org/eng/interactive/vsme/vsme-standard-annex-i/2025-07-30-ec-rec/62/c" TargetMode="External"/><Relationship Id="rId45" Type="http://schemas.openxmlformats.org/officeDocument/2006/relationships/hyperlink" Target="https://xbrl.efrag.org/eng/interactive/vsme/vsme-guidance-annex-ii/2025-07-30-ec-rec/118" TargetMode="External"/><Relationship Id="rId66" Type="http://schemas.openxmlformats.org/officeDocument/2006/relationships/hyperlink" Target="https://xbrl.efrag.org/eng/interactive/vsme/vsme-standard-annex-i/2025-07-30-ec-rec/62/a" TargetMode="External"/><Relationship Id="rId87" Type="http://schemas.openxmlformats.org/officeDocument/2006/relationships/hyperlink" Target="https://xbrl.efrag.org/eng/interactive/vsme/vsme-guidance-annex-ii/2025-07-30-ec-rec/119-126" TargetMode="External"/><Relationship Id="rId61" Type="http://schemas.openxmlformats.org/officeDocument/2006/relationships/hyperlink" Target="https://xbrl.efrag.org/eng/interactive/vsme/vsme-standard-annex-i/2025-07-30-ec-rec/62/a" TargetMode="External"/><Relationship Id="rId82" Type="http://schemas.openxmlformats.org/officeDocument/2006/relationships/hyperlink" Target="https://xbrl.efrag.org/eng/interactive/vsme/vsme-guidance-annex-ii/2025-07-30-ec-rec/174" TargetMode="External"/><Relationship Id="rId19" Type="http://schemas.openxmlformats.org/officeDocument/2006/relationships/hyperlink" Target="https://xbrl.efrag.org/eng/interactive/vsme/vsme-guidance-annex-ii/2025-07-30-ec-rec/167-169" TargetMode="External"/><Relationship Id="rId14" Type="http://schemas.openxmlformats.org/officeDocument/2006/relationships/hyperlink" Target="https://xbrl.efrag.org/e-esrs/2024-12-17-efrag-vsme.xhtml" TargetMode="External"/><Relationship Id="rId30" Type="http://schemas.openxmlformats.org/officeDocument/2006/relationships/hyperlink" Target="https://xbrl.efrag.org/e-esrs/2024-12-17-efrag-vsme.xhtml" TargetMode="External"/><Relationship Id="rId35" Type="http://schemas.openxmlformats.org/officeDocument/2006/relationships/hyperlink" Target="https://xbrl.efrag.org/eng/interactive/vsme/vsme-standard-annex-i/2025-07-30-ec-rec/41/b" TargetMode="External"/><Relationship Id="rId56" Type="http://schemas.openxmlformats.org/officeDocument/2006/relationships/hyperlink" Target="https://xbrl.efrag.org/eng/interactive/vsme/vsme-standard-annex-i/2025-07-30-ec-rec/61/b" TargetMode="External"/><Relationship Id="rId77" Type="http://schemas.openxmlformats.org/officeDocument/2006/relationships/hyperlink" Target="https://xbrl.efrag.org/eng/interactive/vsme/vsme-guidance-annex-ii/2025-07-30-ec-rec/174"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xbrl.efrag.org/eng/interactive/vsme/vsme-guidance-annex-ii/2025-07-30-ec-rec/177/d" TargetMode="External"/><Relationship Id="rId18" Type="http://schemas.openxmlformats.org/officeDocument/2006/relationships/hyperlink" Target="https://knowledgehub.efrag.org/eng/interactive/vsme/vsme-standard-annex-i/08-2025/64" TargetMode="External"/><Relationship Id="rId26" Type="http://schemas.openxmlformats.org/officeDocument/2006/relationships/hyperlink" Target="https://xbrl.efrag.org/eng/interactive/vsme/vsme-standard-annex-i/2025-07-30-ec-rec/64" TargetMode="External"/><Relationship Id="rId3" Type="http://schemas.openxmlformats.org/officeDocument/2006/relationships/hyperlink" Target="https://xbrl.efrag.org/e-esrs/2024-12-17-efrag-vsme.xhtml" TargetMode="External"/><Relationship Id="rId21" Type="http://schemas.openxmlformats.org/officeDocument/2006/relationships/hyperlink" Target="https://xbrl.efrag.org/eng/interactive/vsme/vsme-guidance-annex-ii/2025-07-30-ec-rec/141-144" TargetMode="External"/><Relationship Id="rId34" Type="http://schemas.openxmlformats.org/officeDocument/2006/relationships/hyperlink" Target="https://xbrl.efrag.org/eng/interactive/vsme/vsme-guidance-annex-ii/2025-07-30-ec-rec/175-176" TargetMode="External"/><Relationship Id="rId7" Type="http://schemas.openxmlformats.org/officeDocument/2006/relationships/hyperlink" Target="https://xbrl.efrag.org/eng/interactive/vsme/vsme-standard-annex-i/2025-07-30-ec-rec/63/d" TargetMode="External"/><Relationship Id="rId12" Type="http://schemas.openxmlformats.org/officeDocument/2006/relationships/hyperlink" Target="https://xbrl.efrag.org/eng/interactive/vsme/vsme-guidance-annex-ii/2025-07-30-ec-rec/177/c" TargetMode="External"/><Relationship Id="rId17" Type="http://schemas.openxmlformats.org/officeDocument/2006/relationships/hyperlink" Target="https://xbrl.efrag.org/eng/interactive/vsme/vsme-standard-annex-i/2025-07-30-ec-rec/64" TargetMode="External"/><Relationship Id="rId25" Type="http://schemas.openxmlformats.org/officeDocument/2006/relationships/hyperlink" Target="https://xbrl.efrag.org/eng/interactive/vsme/vsme-standard-annex-i/2025-07-30-ec-rec/63/c" TargetMode="External"/><Relationship Id="rId33" Type="http://schemas.openxmlformats.org/officeDocument/2006/relationships/hyperlink" Target="https://xbrl.efrag.org/eng/interactive/vsme/vsme-guidance-annex-ii/2025-07-30-ec-rec/175-176" TargetMode="External"/><Relationship Id="rId2" Type="http://schemas.openxmlformats.org/officeDocument/2006/relationships/hyperlink" Target="https://xbrl.efrag.org/e-esrs/2024-12-17-efrag-vsme.xhtml" TargetMode="External"/><Relationship Id="rId16" Type="http://schemas.openxmlformats.org/officeDocument/2006/relationships/hyperlink" Target="https://xbrl.efrag.org/eng/interactive/vsme/vsme-standard-annex-i/2025-07-30-ec-rec/43" TargetMode="External"/><Relationship Id="rId20" Type="http://schemas.openxmlformats.org/officeDocument/2006/relationships/hyperlink" Target="https://xbrl.efrag.org/eng/interactive/vsme/vsme-standard-annex-i/2025-07-30-ec-rec/10" TargetMode="External"/><Relationship Id="rId29" Type="http://schemas.openxmlformats.org/officeDocument/2006/relationships/hyperlink" Target="https://xbrl.efrag.org/eng/interactive/vsme/vsme-guidance-annex-ii/2025-07-30-ec-rec/175-176" TargetMode="External"/><Relationship Id="rId1" Type="http://schemas.openxmlformats.org/officeDocument/2006/relationships/hyperlink" Target="https://xbrl.efrag.org/e-esrs/2024-12-17-efrag-vsme.xhtml" TargetMode="External"/><Relationship Id="rId6" Type="http://schemas.openxmlformats.org/officeDocument/2006/relationships/hyperlink" Target="https://xbrl.efrag.org/eng/interactive/vsme/vsme-standard-annex-i/2025-07-30-ec-rec/63/c" TargetMode="External"/><Relationship Id="rId11" Type="http://schemas.openxmlformats.org/officeDocument/2006/relationships/hyperlink" Target="https://xbrl.efrag.org/eng/interactive/vsme/vsme-guidance-annex-ii/2025-07-30-ec-rec/177/b" TargetMode="External"/><Relationship Id="rId24" Type="http://schemas.openxmlformats.org/officeDocument/2006/relationships/hyperlink" Target="https://xbrl.efrag.org/eng/interactive/vsme/vsme-standard-annex-i/2025-07-30-ec-rec/63/c" TargetMode="External"/><Relationship Id="rId32" Type="http://schemas.openxmlformats.org/officeDocument/2006/relationships/hyperlink" Target="https://xbrl.efrag.org/eng/interactive/vsme/vsme-guidance-annex-ii/2025-07-30-ec-rec/175-176" TargetMode="External"/><Relationship Id="rId5" Type="http://schemas.openxmlformats.org/officeDocument/2006/relationships/hyperlink" Target="https://xbrl.efrag.org/eng/interactive/vsme/vsme-standard-annex-i/2025-07-30-ec-rec/63/b" TargetMode="External"/><Relationship Id="rId15" Type="http://schemas.openxmlformats.org/officeDocument/2006/relationships/hyperlink" Target="https://xbrl.efrag.org/eng/interactive/vsme/vsme-guidance-annex-ii/2025-07-30-ec-rec/175-176" TargetMode="External"/><Relationship Id="rId23" Type="http://schemas.openxmlformats.org/officeDocument/2006/relationships/hyperlink" Target="https://xbrl.efrag.org/eng/interactive/vsme/vsme-standard-annex-i/2025-07-30-ec-rec/63/c" TargetMode="External"/><Relationship Id="rId28" Type="http://schemas.openxmlformats.org/officeDocument/2006/relationships/hyperlink" Target="https://xbrl.efrag.org/eng/interactive/vsme/vsme-standard-annex-i/2025-07-30-ec-rec/64" TargetMode="External"/><Relationship Id="rId10" Type="http://schemas.openxmlformats.org/officeDocument/2006/relationships/hyperlink" Target="https://xbrl.efrag.org/eng/interactive/vsme/vsme-guidance-annex-ii/2025-07-30-ec-rec/177/a" TargetMode="External"/><Relationship Id="rId19" Type="http://schemas.openxmlformats.org/officeDocument/2006/relationships/hyperlink" Target="https://xbrl.efrag.org/eng/interactive/vsme/vsme-standard-annex-i/2025-07-30-ec-rec/65" TargetMode="External"/><Relationship Id="rId31" Type="http://schemas.openxmlformats.org/officeDocument/2006/relationships/hyperlink" Target="https://xbrl.efrag.org/eng/interactive/vsme/vsme-guidance-annex-ii/2025-07-30-ec-rec/175-176" TargetMode="External"/><Relationship Id="rId4" Type="http://schemas.openxmlformats.org/officeDocument/2006/relationships/hyperlink" Target="https://xbrl.efrag.org/eng/interactive/vsme/vsme-standard-annex-i/2025-07-30-ec-rec/63/a" TargetMode="External"/><Relationship Id="rId9" Type="http://schemas.openxmlformats.org/officeDocument/2006/relationships/hyperlink" Target="https://xbrl.efrag.org/eng/interactive/vsme/vsme-guidance-annex-ii/2025-07-30-ec-rec/177/d" TargetMode="External"/><Relationship Id="rId14" Type="http://schemas.openxmlformats.org/officeDocument/2006/relationships/hyperlink" Target="https://xbrl.efrag.org/e-esrs/2024-12-17-efrag-vsme.xhtml" TargetMode="External"/><Relationship Id="rId22" Type="http://schemas.openxmlformats.org/officeDocument/2006/relationships/hyperlink" Target="https://xbrl.efrag.org/eng/interactive/vsme/vsme-guidance-annex-ii/2025-07-30-ec-rec/178-180" TargetMode="External"/><Relationship Id="rId27" Type="http://schemas.openxmlformats.org/officeDocument/2006/relationships/hyperlink" Target="https://xbrl.efrag.org/eng/interactive/vsme/vsme-standard-annex-i/2025-07-30-ec-rec/64" TargetMode="External"/><Relationship Id="rId30" Type="http://schemas.openxmlformats.org/officeDocument/2006/relationships/hyperlink" Target="https://xbrl.efrag.org/eng/interactive/vsme/vsme-guidance-annex-ii/2025-07-30-ec-rec/175-176" TargetMode="External"/><Relationship Id="rId35" Type="http://schemas.openxmlformats.org/officeDocument/2006/relationships/drawing" Target="../drawings/drawing5.xml"/><Relationship Id="rId8" Type="http://schemas.openxmlformats.org/officeDocument/2006/relationships/hyperlink" Target="https://xbrl.efrag.org/e-esrs/2024-12-17-efrag-vsme.xhtm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8" Type="http://schemas.openxmlformats.org/officeDocument/2006/relationships/hyperlink" Target="chrome-extension://efaidnbmnnnibpcajpcglclefindmkaj/https:/www.bhel.com/sites/default/files/gas-properties-cog-1580716150.pdf" TargetMode="External"/><Relationship Id="rId13" Type="http://schemas.openxmlformats.org/officeDocument/2006/relationships/hyperlink" Target="https://osf.io/s2qbt" TargetMode="External"/><Relationship Id="rId18" Type="http://schemas.openxmlformats.org/officeDocument/2006/relationships/hyperlink" Target="http://www.ipcc-nggip.iges.or.jp/efdb/find_ef_ft.php" TargetMode="External"/><Relationship Id="rId3" Type="http://schemas.openxmlformats.org/officeDocument/2006/relationships/hyperlink" Target="https://atdmco.com/wiki-density-of-bitumen/" TargetMode="External"/><Relationship Id="rId21" Type="http://schemas.openxmlformats.org/officeDocument/2006/relationships/hyperlink" Target="https://www.engineeringtoolbox.com/fuels-higher-calorific-values-d_169.html" TargetMode="External"/><Relationship Id="rId7" Type="http://schemas.openxmlformats.org/officeDocument/2006/relationships/hyperlink" Target="https://op.europa.eu/en/publication-detail/-/publication/eaa047e8-644c-4149-bdcb-9dde79c64a12" TargetMode="External"/><Relationship Id="rId12" Type="http://schemas.openxmlformats.org/officeDocument/2006/relationships/hyperlink" Target="https://www.researchgate.net/figure/Density-and-viscosity-of-shale-oil-in-Lucaogou-Formation-Jimsar-Sag_tbl1_336793871" TargetMode="External"/><Relationship Id="rId17" Type="http://schemas.openxmlformats.org/officeDocument/2006/relationships/hyperlink" Target="https://eippcb.jrc.ec.europa.eu/sites/default/files/2020-03/superseded_ref_bref-0203.pdf" TargetMode="External"/><Relationship Id="rId2" Type="http://schemas.openxmlformats.org/officeDocument/2006/relationships/hyperlink" Target="https://www.engineeringtoolbox.com/gasoline-density-specific-heat-dynamic-kinematic-viscosity-thermal-conductivity-vs-temperature-d_2224.html" TargetMode="External"/><Relationship Id="rId16" Type="http://schemas.openxmlformats.org/officeDocument/2006/relationships/hyperlink" Target="https://www.engineeringtoolbox.com/propane-C3H8-density-specific-weight-temperature-pressure-d_2033.html?vA=15&amp;degree" TargetMode="External"/><Relationship Id="rId20" Type="http://schemas.openxmlformats.org/officeDocument/2006/relationships/hyperlink" Target="https://iopscience.iop.org/article/10.1088/1757-899X/912/4/042075" TargetMode="External"/><Relationship Id="rId1" Type="http://schemas.openxmlformats.org/officeDocument/2006/relationships/hyperlink" Target="chrome-extension://efaidnbmnnnibpcajpcglclefindmkaj/https:/cdn.cdp.net/cdp-production/cms/guidance_docs/pdfs/000/000/477/original/CDP-Conversion-of-fuel-data-to-MWh.pdf?1479755175" TargetMode="External"/><Relationship Id="rId6" Type="http://schemas.openxmlformats.org/officeDocument/2006/relationships/hyperlink" Target="http://cyyenergy.com/en/Products/info_itemid_138.html" TargetMode="External"/><Relationship Id="rId11" Type="http://schemas.openxmlformats.org/officeDocument/2006/relationships/hyperlink" Target="https://eur-lex.europa.eu/eli/reg_impl/2018/2066/oj/eng" TargetMode="External"/><Relationship Id="rId24" Type="http://schemas.openxmlformats.org/officeDocument/2006/relationships/hyperlink" Target="https://www.shell.com/business-customers/chemicals/our-products/solvents-hydrocarbon/special-boiling-point-solvents/sbp-140-165.html." TargetMode="External"/><Relationship Id="rId5" Type="http://schemas.openxmlformats.org/officeDocument/2006/relationships/hyperlink" Target="https://www.energuide.be/en/questions-answers/what-is-the-calorific-value-of-gas/9655/" TargetMode="External"/><Relationship Id="rId15" Type="http://schemas.openxmlformats.org/officeDocument/2006/relationships/hyperlink" Target="https://op.europa.eu/en/publication-detail/-/publication/eaa047e8-644c-4149-bdcb-9dde79c64a12" TargetMode="External"/><Relationship Id="rId23" Type="http://schemas.openxmlformats.org/officeDocument/2006/relationships/hyperlink" Target="https://www.mdpi.com/2673-5628/5/1/6;" TargetMode="External"/><Relationship Id="rId10" Type="http://schemas.openxmlformats.org/officeDocument/2006/relationships/hyperlink" Target="https://www.exxonmobil.com/en-bd/commercial-fuel/pds/gl-xx-jetfuel-series" TargetMode="External"/><Relationship Id="rId19" Type="http://schemas.openxmlformats.org/officeDocument/2006/relationships/hyperlink" Target="https://captainslog.gr/wp-content/uploads/2020/12/Sulphite-Lye-Cafn.pdf" TargetMode="External"/><Relationship Id="rId4" Type="http://schemas.openxmlformats.org/officeDocument/2006/relationships/hyperlink" Target="https://engineeringtoolbox.com/gas-density-d_158.html" TargetMode="External"/><Relationship Id="rId9" Type="http://schemas.openxmlformats.org/officeDocument/2006/relationships/hyperlink" Target="https://www.engineeringtoolbox.com/fuels-densities-specific-volumes-d_166.html" TargetMode="External"/><Relationship Id="rId14" Type="http://schemas.openxmlformats.org/officeDocument/2006/relationships/hyperlink" Target="https://archive.epa.gov/emergencies/content/fss/web/pdf/orimuls.pdf" TargetMode="External"/><Relationship Id="rId22" Type="http://schemas.openxmlformats.org/officeDocument/2006/relationships/hyperlink" Target="https://ehs.cranesville.com/msds.pdfs/MSDS(U00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3BA08-EB56-4E4C-B440-D54FA8F7DF57}">
  <sheetPr codeName="Sheet1"/>
  <dimension ref="A1:R44"/>
  <sheetViews>
    <sheetView showGridLines="0" tabSelected="1" zoomScaleNormal="100" workbookViewId="0"/>
  </sheetViews>
  <sheetFormatPr defaultColWidth="8.90625" defaultRowHeight="14.5" x14ac:dyDescent="0.35"/>
  <cols>
    <col min="1" max="1" width="6" customWidth="1"/>
    <col min="2" max="2" width="56" customWidth="1"/>
    <col min="3" max="3" width="56.08984375" customWidth="1"/>
    <col min="4" max="4" width="69.36328125" customWidth="1"/>
    <col min="5" max="5" width="33.54296875" customWidth="1"/>
    <col min="6" max="6" width="42.36328125" bestFit="1" customWidth="1"/>
    <col min="7" max="7" width="43.453125" bestFit="1" customWidth="1"/>
    <col min="8" max="8" width="48.90625" bestFit="1" customWidth="1"/>
    <col min="9" max="9" width="38.54296875" customWidth="1"/>
    <col min="10" max="10" width="45.6328125" customWidth="1"/>
    <col min="11" max="11" width="29" customWidth="1"/>
    <col min="12" max="12" width="32.453125" customWidth="1"/>
    <col min="13" max="13" width="29.54296875" customWidth="1"/>
    <col min="14" max="14" width="21.453125" bestFit="1" customWidth="1"/>
    <col min="15" max="15" width="11.453125" customWidth="1"/>
    <col min="16" max="16" width="20.54296875" bestFit="1" customWidth="1"/>
    <col min="17" max="17" width="14.453125" customWidth="1"/>
    <col min="18" max="18" width="14" bestFit="1" customWidth="1"/>
    <col min="21" max="23" width="20.54296875" bestFit="1" customWidth="1"/>
  </cols>
  <sheetData>
    <row r="1" spans="2:18" x14ac:dyDescent="0.35">
      <c r="B1" s="329" t="str">
        <f>template_label_version</f>
        <v>Version:</v>
      </c>
      <c r="C1" s="329" t="s">
        <v>4633</v>
      </c>
      <c r="D1" s="329"/>
    </row>
    <row r="2" spans="2:18" x14ac:dyDescent="0.35">
      <c r="B2" s="329" t="str">
        <f>template_label_publication_date</f>
        <v>Publication date:</v>
      </c>
      <c r="C2" s="330">
        <v>45933</v>
      </c>
      <c r="D2" s="329"/>
    </row>
    <row r="3" spans="2:18" ht="35.5" customHeight="1" x14ac:dyDescent="0.35">
      <c r="B3" s="487" t="str" cm="1">
        <f t="array" aca="1" ref="B3" ca="1">IF(ISERROR(CELL("filename",A1)),"Warning: The Digital Template was developed and tested using Microsoft Excel 365. Functionality may be limited or incorrect when using other spreadsheet applications or older versions of Excel.","")</f>
        <v/>
      </c>
      <c r="C3" s="487"/>
      <c r="D3" s="329"/>
    </row>
    <row r="5" spans="2:18" x14ac:dyDescent="0.35">
      <c r="B5" s="331"/>
    </row>
    <row r="6" spans="2:18" x14ac:dyDescent="0.35">
      <c r="B6" s="331"/>
    </row>
    <row r="7" spans="2:18" x14ac:dyDescent="0.35">
      <c r="B7" s="331"/>
    </row>
    <row r="8" spans="2:18" x14ac:dyDescent="0.35">
      <c r="B8" s="331"/>
    </row>
    <row r="9" spans="2:18" x14ac:dyDescent="0.35">
      <c r="B9" s="331"/>
    </row>
    <row r="10" spans="2:18" x14ac:dyDescent="0.35">
      <c r="B10" s="90" t="str">
        <f>template_label_taxonomy_entry_point</f>
        <v>Taxonomy entry point:</v>
      </c>
      <c r="C10" s="332" t="s">
        <v>5689</v>
      </c>
    </row>
    <row r="11" spans="2:18" x14ac:dyDescent="0.35">
      <c r="B11" s="90" t="str">
        <f>template_label_select_template_display_language</f>
        <v>Select Template Display Language:</v>
      </c>
      <c r="C11" s="486" t="s">
        <v>5692</v>
      </c>
    </row>
    <row r="12" spans="2:18" x14ac:dyDescent="0.35">
      <c r="B12" s="90" t="str">
        <f>template_label_title_of_report</f>
        <v>Main title of the report</v>
      </c>
      <c r="C12" t="str">
        <f>template_label_main_title_of_report_text</f>
        <v xml:space="preserve">Sustainability Report </v>
      </c>
    </row>
    <row r="13" spans="2:18" x14ac:dyDescent="0.35">
      <c r="B13" s="90" t="str">
        <f>template_label_subtitle_of_report</f>
        <v>Subtitle of the report</v>
      </c>
      <c r="C13" t="str">
        <f>template_label_subtitle_of_report_text</f>
        <v>Prepared in accordance with the Voluntary Sustainability Reporting Standard for small and medium-sized undertakings (VSME), released by the European Commission on 30 July 2025.</v>
      </c>
    </row>
    <row r="14" spans="2:18" s="334" customFormat="1" ht="62.5" x14ac:dyDescent="1.4">
      <c r="B14" s="333" t="str">
        <f>template_label_vsme_digital_template</f>
        <v>VSME Digital Template</v>
      </c>
    </row>
    <row r="15" spans="2:18" ht="354.65" customHeight="1" x14ac:dyDescent="0.35">
      <c r="B15" s="488" t="str">
        <f>template_label_the_purpose_of_this_digital_template_is_to_illustrate_how_vsme_reporting_can_be_implemented_in_a_digital_template</f>
        <v>The purpose of this digital template is to illustrate how VSME reporting can be implemented in a digital template. The template reflects the VSME Recommendation as published by the European Commission on 30 July 2025. The template is accompanied by a digital VSME XBRL taxonomy, which represents the digital data model of the disclosures and is available on EFRAG's website. The VSME requires disclosure of comparative information on metrics (paragraph 12). This template enables reporting for one reporting period only. Therefore, it might be used for reporting in the first year only. It is expected that reporting solutions will enable the roll-forward of reporting periods, which would automatically provide the necessary comparative information.
This template can be used for data entry and validation. By using an XBRL Converter on EFRAG's website, it can be saved as an XBRL report, in a free and open data format. Excel-named ranges are used to extract the disclosures. Value cells that are empty and do not have any value (neither text nor a number) will not be considered as reported and will not be included in the XBRL report when using the Excel-to-XBRL converter.
A few drop-down selection menus in the VSME have more than 100 entries (e.g. the NACE codes under B1, the list of pollutants under B4, the list of wastes under B7). In order to search in the list, users can simply start typing search keywords in the cell.
If a security warning is shown, please "Enable Content" in order to allow automatic calculation of GPS coordinates for the list of sites under B1. No content other than the address entered will be sent to the internet and the contents shared with the provider can be found in the Nominatim Usage Policy (Geocoding Policy) and Privacy Policy.
All materials developed by the EFRAG Secretariat are released for free and as open source (MIT license), which will enable any stakeholder to further enhance them and integrate them into commercial solutions. However, respecting the license conditions, the reference to EFRAG must be mentioned by the providers of those commercial solutions. It's possible to consult the MIT License in the specific sheet.
If you wish to raise an issue with the VSME Digital Template or the Digital Template to XBRL Converter, please do so by creating an issue in the GitHub project.</v>
      </c>
      <c r="C15" s="489"/>
      <c r="D15" s="489"/>
      <c r="E15" s="490"/>
      <c r="F15" s="335"/>
      <c r="G15" s="335"/>
      <c r="H15" s="335"/>
      <c r="I15" s="335"/>
      <c r="J15" s="335"/>
      <c r="K15" s="335"/>
      <c r="L15" s="335"/>
      <c r="M15" s="335"/>
      <c r="N15" s="335"/>
      <c r="O15" s="335"/>
      <c r="P15" s="335"/>
      <c r="Q15" s="335"/>
      <c r="R15" s="335"/>
    </row>
    <row r="16" spans="2:18" ht="20" customHeight="1" x14ac:dyDescent="0.35">
      <c r="B16" s="336"/>
      <c r="C16" s="336"/>
      <c r="D16" s="336"/>
      <c r="E16" s="336"/>
      <c r="F16" s="335"/>
      <c r="G16" s="335"/>
      <c r="H16" s="335"/>
      <c r="I16" s="335"/>
      <c r="J16" s="335"/>
      <c r="K16" s="335"/>
      <c r="L16" s="335"/>
      <c r="M16" s="335"/>
      <c r="N16" s="335"/>
      <c r="O16" s="335"/>
      <c r="P16" s="335"/>
      <c r="Q16" s="335"/>
      <c r="R16" s="335"/>
    </row>
    <row r="17" spans="1:18" x14ac:dyDescent="0.35">
      <c r="B17" s="331"/>
    </row>
    <row r="18" spans="1:18" ht="26.75" customHeight="1" x14ac:dyDescent="0.5">
      <c r="B18" s="337" t="str">
        <f>template_label_how_to_use_it</f>
        <v>How to use it:</v>
      </c>
      <c r="C18" s="338"/>
      <c r="D18" s="338"/>
      <c r="E18" s="339"/>
      <c r="F18" s="340"/>
      <c r="G18" s="340"/>
      <c r="H18" s="340"/>
      <c r="I18" s="340"/>
      <c r="J18" s="340"/>
      <c r="K18" s="340"/>
      <c r="L18" s="340"/>
      <c r="M18" s="340"/>
      <c r="N18" s="340"/>
      <c r="O18" s="340"/>
      <c r="P18" s="340"/>
      <c r="Q18" s="340"/>
      <c r="R18" s="340"/>
    </row>
    <row r="19" spans="1:18" ht="18.5" x14ac:dyDescent="0.35">
      <c r="B19" s="491" t="str">
        <f>template_label_0_provide_information_that_is_mandatory_in_order_to_generate_the_vsme_and_xbrl_report</f>
        <v>0. Provide information that is mandatory in order to generate the VSME and XBRL Report.</v>
      </c>
      <c r="C19" s="492"/>
      <c r="D19" s="492"/>
      <c r="E19" s="493"/>
      <c r="F19" s="341"/>
      <c r="G19" s="341"/>
      <c r="H19" s="341"/>
      <c r="I19" s="341"/>
      <c r="J19" s="341"/>
      <c r="K19" s="341"/>
      <c r="L19" s="341"/>
      <c r="M19" s="341"/>
      <c r="N19" s="341"/>
      <c r="O19" s="341"/>
      <c r="P19" s="341"/>
      <c r="Q19" s="341"/>
      <c r="R19" s="341"/>
    </row>
    <row r="20" spans="1:18" ht="59.4" customHeight="1" x14ac:dyDescent="0.35">
      <c r="B20" s="491" t="str">
        <f>template_label_1_fill_in_the_disclosures_on_the_four_worksheets</f>
        <v>1. Fill in the disclosures on the four worksheets (General Information, Environmental Disclosures, Social Disclosures, Governance Disclosures) in the white cells framed by a black border. Do not enter information outside of those cells. Searching in drop-downs can be done by typing into the cell. Hints (input messages) are shown in several cells when selecting them.</v>
      </c>
      <c r="C20" s="492"/>
      <c r="D20" s="492"/>
      <c r="E20" s="493"/>
      <c r="F20" s="341"/>
      <c r="G20" s="341"/>
      <c r="H20" s="341"/>
      <c r="I20" s="341"/>
      <c r="J20" s="341"/>
      <c r="K20" s="341"/>
      <c r="L20" s="341"/>
      <c r="M20" s="341"/>
      <c r="N20" s="341"/>
      <c r="O20" s="341"/>
      <c r="P20" s="341"/>
      <c r="Q20" s="341"/>
      <c r="R20" s="341"/>
    </row>
    <row r="21" spans="1:18" ht="39.65" customHeight="1" x14ac:dyDescent="0.35">
      <c r="B21" s="512" t="str">
        <f>template_label_2_find_more_information_on_the_actual_disclosure_requirements_in_the_vsme_standard</f>
        <v>2. Find more information on the actual disclosure requirements in the VSME Standard and the related guidance linked to each cell. Additional or entity-specific disclosures can be provided in each text box at the end of each worksheet.</v>
      </c>
      <c r="C21" s="513"/>
      <c r="D21" s="513"/>
      <c r="E21" s="514"/>
      <c r="F21" s="342"/>
      <c r="G21" s="342"/>
      <c r="H21" s="342"/>
      <c r="I21" s="342"/>
      <c r="J21" s="342"/>
      <c r="K21" s="342"/>
      <c r="L21" s="342"/>
      <c r="M21" s="342"/>
      <c r="N21" s="342"/>
      <c r="O21" s="342"/>
      <c r="P21" s="342"/>
      <c r="Q21" s="342"/>
      <c r="R21" s="342"/>
    </row>
    <row r="22" spans="1:18" ht="36" customHeight="1" x14ac:dyDescent="0.35">
      <c r="B22" s="491" t="str">
        <f>template_label_3_for_open_tables_like_the_list_of_subsidizers_sites_please_expand_the_groups_by_clicking_the_plus</f>
        <v>3. For open tables like the List of subsidiaries/sites, please expand the groups by clicking the plus [+] icon on the left side. If more rows are needed, they can be added by inserting them between the first and last row. The row IDs in open tables must remain unique per table.</v>
      </c>
      <c r="C22" s="492"/>
      <c r="D22" s="492"/>
      <c r="E22" s="493"/>
      <c r="F22" s="342"/>
      <c r="G22" s="342"/>
      <c r="H22" s="342"/>
      <c r="I22" s="342"/>
      <c r="J22" s="342"/>
      <c r="K22" s="342"/>
      <c r="L22" s="342"/>
      <c r="M22" s="342"/>
      <c r="N22" s="342"/>
      <c r="O22" s="342"/>
      <c r="P22" s="342"/>
      <c r="Q22" s="342"/>
      <c r="R22" s="342"/>
    </row>
    <row r="23" spans="1:18" s="343" customFormat="1" ht="18.5" x14ac:dyDescent="0.35">
      <c r="B23" s="512" t="str">
        <f>template_label_4_validate_the_data_entered_by_checking_the_validation_status</f>
        <v>4. Validate the data entered by checking the validation status. The report is considered incomplete or erroneous if the validation is fails, which might result in an invalid XBRL report.</v>
      </c>
      <c r="C23" s="513"/>
      <c r="D23" s="513"/>
      <c r="E23" s="514"/>
      <c r="F23" s="342"/>
      <c r="G23" s="342"/>
      <c r="H23" s="342"/>
      <c r="I23" s="342"/>
      <c r="J23" s="342"/>
      <c r="K23" s="342"/>
      <c r="L23" s="342"/>
      <c r="M23" s="342"/>
      <c r="N23" s="342"/>
      <c r="O23" s="342"/>
      <c r="P23" s="342"/>
      <c r="Q23" s="342"/>
      <c r="R23" s="342"/>
    </row>
    <row r="24" spans="1:18" ht="18.5" x14ac:dyDescent="0.35">
      <c r="B24" s="512" t="str">
        <f>template_label_5_convert_this_template_to_an_inline_xbrl_report</f>
        <v>5. Convert this template to an Inline XBRL report (or XBRL-JSON, XBRL-CSV), using the online converter. Pay attention to the XBRL validation performed by the validator.</v>
      </c>
      <c r="C24" s="513"/>
      <c r="D24" s="513"/>
      <c r="E24" s="514"/>
      <c r="F24" s="342"/>
      <c r="G24" s="342"/>
      <c r="H24" s="342"/>
      <c r="I24" s="342"/>
      <c r="J24" s="342"/>
      <c r="K24" s="342"/>
      <c r="L24" s="342"/>
      <c r="M24" s="342"/>
      <c r="N24" s="342"/>
      <c r="O24" s="342"/>
      <c r="P24" s="342"/>
      <c r="Q24" s="342"/>
      <c r="R24" s="342"/>
    </row>
    <row r="25" spans="1:18" ht="24.65" customHeight="1" x14ac:dyDescent="0.35">
      <c r="B25" s="500" t="str">
        <f>template_label_6_the_undertaking_may_also_upload_the_report_to_public_repositories_or_a_webpage</f>
        <v>6. The undertaking may also upload the report to public repositories or a webpage.</v>
      </c>
      <c r="C25" s="501"/>
      <c r="D25" s="501"/>
      <c r="E25" s="502"/>
      <c r="F25" s="342"/>
      <c r="G25" s="342"/>
      <c r="H25" s="342"/>
      <c r="I25" s="342"/>
      <c r="J25" s="342"/>
      <c r="K25" s="342"/>
      <c r="L25" s="342"/>
      <c r="M25" s="342"/>
      <c r="N25" s="342"/>
      <c r="O25" s="342"/>
      <c r="P25" s="342"/>
      <c r="Q25" s="342"/>
      <c r="R25" s="342"/>
    </row>
    <row r="26" spans="1:18" ht="18.5" x14ac:dyDescent="0.45">
      <c r="B26" s="340"/>
      <c r="C26" s="340"/>
      <c r="D26" s="340"/>
      <c r="E26" s="340"/>
      <c r="F26" s="340"/>
      <c r="G26" s="340"/>
      <c r="H26" s="340"/>
      <c r="I26" s="340"/>
      <c r="J26" s="340"/>
      <c r="K26" s="340"/>
      <c r="L26" s="340"/>
      <c r="M26" s="340"/>
      <c r="N26" s="340"/>
      <c r="O26" s="340"/>
      <c r="P26" s="340"/>
      <c r="Q26" s="340"/>
      <c r="R26" s="340"/>
    </row>
    <row r="27" spans="1:18" ht="36" customHeight="1" x14ac:dyDescent="0.45">
      <c r="B27" s="344" t="str">
        <f>template_label_cell_background_color_index</f>
        <v>Cell background color index:</v>
      </c>
      <c r="C27" s="340"/>
      <c r="D27" s="340"/>
      <c r="E27" s="340"/>
      <c r="F27" s="340"/>
      <c r="G27" s="340"/>
      <c r="H27" s="340"/>
      <c r="I27" s="340"/>
      <c r="J27" s="340"/>
      <c r="K27" s="340"/>
      <c r="L27" s="340"/>
      <c r="M27" s="340"/>
      <c r="N27" s="340"/>
      <c r="O27" s="340"/>
      <c r="P27" s="340"/>
      <c r="Q27" s="340"/>
      <c r="R27" s="340"/>
    </row>
    <row r="28" spans="1:18" ht="32.15" customHeight="1" x14ac:dyDescent="0.45">
      <c r="B28" s="345" t="str">
        <f>template_label_general_principles</f>
        <v>General Principles</v>
      </c>
      <c r="C28" s="497" t="str">
        <f>template_label_indicates_that_the_disclosure_is_from_the_general_principles_of_the_vsme</f>
        <v>Indicates that the disclosure is from the general principles of the VSME.</v>
      </c>
      <c r="D28" s="498"/>
      <c r="E28" s="499"/>
      <c r="F28" s="340"/>
      <c r="G28" s="340"/>
      <c r="H28" s="340"/>
      <c r="I28" s="340"/>
      <c r="J28" s="340"/>
      <c r="K28" s="340"/>
      <c r="L28" s="340"/>
      <c r="M28" s="340"/>
      <c r="N28" s="340"/>
      <c r="O28" s="340"/>
      <c r="P28" s="340"/>
      <c r="Q28" s="340"/>
      <c r="R28" s="340"/>
    </row>
    <row r="29" spans="1:18" ht="34.5" customHeight="1" x14ac:dyDescent="0.45">
      <c r="A29" s="346"/>
      <c r="B29" s="347" t="str">
        <f>template_label_basic_module</f>
        <v>Basic Module</v>
      </c>
      <c r="C29" s="497" t="str">
        <f>template_label_indicates_that_the_disclosure_is_from_the_vsme_basic_module</f>
        <v>Indicates that the disclosure is from the VSME Basic Module.</v>
      </c>
      <c r="D29" s="498"/>
      <c r="E29" s="499"/>
      <c r="F29" s="340"/>
      <c r="G29" s="348"/>
      <c r="H29" s="348"/>
      <c r="I29" s="348"/>
      <c r="J29" s="348"/>
      <c r="K29" s="348"/>
      <c r="L29" s="348"/>
      <c r="M29" s="348"/>
      <c r="N29" s="348"/>
      <c r="O29" s="348"/>
      <c r="P29" s="348"/>
      <c r="Q29" s="348"/>
      <c r="R29" s="348"/>
    </row>
    <row r="30" spans="1:18" ht="35.75" customHeight="1" x14ac:dyDescent="0.45">
      <c r="A30" s="346"/>
      <c r="B30" s="349" t="str">
        <f>template_label_comprehensive_module</f>
        <v>Comprehensive Module</v>
      </c>
      <c r="C30" s="497" t="str">
        <f>template_label_indicates_that_the_disclosure_is_from_the_vsme_comprehensive_module</f>
        <v>Indicates that the disclosure is from the VSME Comprehensive Module.</v>
      </c>
      <c r="D30" s="498"/>
      <c r="E30" s="499"/>
      <c r="F30" s="340"/>
      <c r="G30" s="348"/>
      <c r="H30" s="348"/>
      <c r="I30" s="348"/>
      <c r="J30" s="348"/>
      <c r="K30" s="348"/>
      <c r="L30" s="348"/>
      <c r="M30" s="348"/>
      <c r="N30" s="348"/>
      <c r="O30" s="348"/>
      <c r="P30" s="348"/>
      <c r="Q30" s="348"/>
      <c r="R30" s="348"/>
    </row>
    <row r="31" spans="1:18" ht="35.9" customHeight="1" x14ac:dyDescent="0.45">
      <c r="A31" s="346"/>
      <c r="B31" s="350"/>
      <c r="C31" s="494" t="str">
        <f>template_label_indicates_that_the_cell_is_automatically_calculated_and_that_no_data_entry_is_required</f>
        <v>Indicates that the cell is automatically calculated and that no data entry is required.</v>
      </c>
      <c r="D31" s="495"/>
      <c r="E31" s="496"/>
      <c r="F31" s="340"/>
      <c r="G31" s="351"/>
      <c r="H31" s="351"/>
      <c r="I31" s="351"/>
      <c r="J31" s="351"/>
      <c r="K31" s="351"/>
      <c r="L31" s="351"/>
      <c r="M31" s="351"/>
      <c r="N31" s="351"/>
      <c r="O31" s="351"/>
      <c r="P31" s="351"/>
      <c r="Q31" s="351"/>
      <c r="R31" s="351"/>
    </row>
    <row r="32" spans="1:18" ht="63" customHeight="1" x14ac:dyDescent="0.45">
      <c r="A32" s="346"/>
      <c r="B32" s="352"/>
      <c r="C32" s="494" t="str">
        <f>template_label_indicates_that_the_datapoint_often_a_condition_will_not_be_included_in_the_vsme_and_digital_xbrl_report</f>
        <v>Indicates that the datapoint (often a condition) will not be included in the VSME and digital XBRL report. These cells are provided to facilitate the completion of the disclosure as they either trigger the applicability of the disclosure or they enable the automatic calculation of the disclosure. If the yellow cells are not being used to calculate a value, the total that is to be reported can be entered manually overwriting by the formula.</v>
      </c>
      <c r="D32" s="495"/>
      <c r="E32" s="496"/>
      <c r="F32" s="340"/>
      <c r="G32" s="351"/>
      <c r="H32" s="351"/>
      <c r="I32" s="351"/>
      <c r="J32" s="351"/>
      <c r="K32" s="351"/>
      <c r="L32" s="351"/>
      <c r="M32" s="351"/>
      <c r="N32" s="351"/>
      <c r="O32" s="351"/>
      <c r="P32" s="351"/>
      <c r="Q32" s="351"/>
      <c r="R32" s="351"/>
    </row>
    <row r="33" spans="1:18" ht="35.9" customHeight="1" x14ac:dyDescent="0.45">
      <c r="A33" s="346"/>
      <c r="B33" s="353"/>
      <c r="C33" s="494" t="str">
        <f>template_label_indicates_that_no_data_entry_is_required_unless_certain_logics_are_selected_in_the_disclosure_itself</f>
        <v>Indicates that no data entry is required unless certain logics are selected in the disclosure itself. When one of these logics is selected, then this cell will turn white.</v>
      </c>
      <c r="D33" s="495"/>
      <c r="E33" s="496"/>
      <c r="F33" s="340"/>
      <c r="G33" s="351"/>
      <c r="H33" s="351"/>
      <c r="I33" s="351"/>
      <c r="J33" s="351"/>
      <c r="K33" s="351"/>
      <c r="L33" s="351"/>
      <c r="M33" s="351"/>
      <c r="N33" s="351"/>
      <c r="O33" s="351"/>
      <c r="P33" s="351"/>
      <c r="Q33" s="351"/>
      <c r="R33" s="351"/>
    </row>
    <row r="34" spans="1:18" ht="42" x14ac:dyDescent="0.45">
      <c r="B34" s="354" t="str">
        <f>template_label_validation_missing_value_error_velue_inconsistency_invalid_url</f>
        <v>Validation MISSING VALUE/ERROR/VALUE INCONSISTENCY/INVALID URL</v>
      </c>
      <c r="C34" s="497" t="str">
        <f>template_label_indicates_that_either_data_entry_is_incorrect_in_terms_of_format_or_that_certain_information</f>
        <v>Indicates that either data entry is incorrect in terms of format or that certain information is missing in order to correctly report on the disclosure.</v>
      </c>
      <c r="D34" s="498"/>
      <c r="E34" s="499"/>
      <c r="F34" s="340"/>
      <c r="G34" s="348"/>
      <c r="H34" s="348"/>
      <c r="I34" s="348"/>
      <c r="J34" s="348"/>
      <c r="K34" s="348"/>
      <c r="L34" s="348"/>
      <c r="M34" s="348"/>
      <c r="N34" s="348"/>
      <c r="O34" s="348"/>
      <c r="P34" s="348"/>
      <c r="Q34" s="348"/>
      <c r="R34" s="348"/>
    </row>
    <row r="35" spans="1:18" ht="22.4" customHeight="1" x14ac:dyDescent="0.45">
      <c r="B35" s="355" t="s">
        <v>2886</v>
      </c>
      <c r="C35" s="497" t="str">
        <f>template_label_indicates_that_data_entry_is_ok_and_the_undertaking_can_proceed_to_the_next_disclosure</f>
        <v>Indicates that data entry is OK and the undertaking can proceed to the next disclosure.</v>
      </c>
      <c r="D35" s="498"/>
      <c r="E35" s="499"/>
      <c r="F35" s="340"/>
      <c r="G35" s="348"/>
      <c r="H35" s="348"/>
      <c r="I35" s="348"/>
      <c r="J35" s="348"/>
      <c r="K35" s="348"/>
      <c r="L35" s="348"/>
      <c r="M35" s="348"/>
      <c r="N35" s="348"/>
      <c r="O35" s="348"/>
      <c r="P35" s="348"/>
      <c r="Q35" s="348"/>
      <c r="R35" s="348"/>
    </row>
    <row r="36" spans="1:18" ht="22.4" customHeight="1" x14ac:dyDescent="0.45">
      <c r="B36" s="356"/>
      <c r="C36" s="497" t="str">
        <f>template_label_no_value_can_be_entered_in_the_cell</f>
        <v>No value can be entered in the cell.</v>
      </c>
      <c r="D36" s="498"/>
      <c r="E36" s="499"/>
      <c r="F36" s="340"/>
      <c r="G36" s="348"/>
      <c r="H36" s="348"/>
      <c r="I36" s="348"/>
      <c r="J36" s="348"/>
      <c r="K36" s="348"/>
      <c r="L36" s="348"/>
      <c r="M36" s="348"/>
      <c r="N36" s="348"/>
      <c r="O36" s="348"/>
      <c r="P36" s="348"/>
      <c r="Q36" s="348"/>
      <c r="R36" s="348"/>
    </row>
    <row r="37" spans="1:18" ht="45.75" customHeight="1" x14ac:dyDescent="0.45">
      <c r="A37" s="346"/>
      <c r="B37" s="357" t="s">
        <v>2880</v>
      </c>
      <c r="C37" s="494" t="str">
        <f>template_label_lists_can_be_expanded_using_the_plus_button_on_the_left</f>
        <v>Lists can be expanded using the plus [+] button on the left. If the number of rows is not sufficient, additional rows can be added by right clicking the second row and selecting "Insert row".</v>
      </c>
      <c r="D37" s="495"/>
      <c r="E37" s="496"/>
      <c r="F37" s="340"/>
      <c r="G37" s="358"/>
      <c r="H37" s="358"/>
      <c r="I37" s="358"/>
      <c r="J37" s="358"/>
      <c r="K37" s="358"/>
      <c r="L37" s="358"/>
      <c r="M37" s="358"/>
      <c r="N37" s="358"/>
      <c r="O37" s="358"/>
      <c r="P37" s="358"/>
      <c r="Q37" s="358"/>
      <c r="R37" s="358"/>
    </row>
    <row r="42" spans="1:18" x14ac:dyDescent="0.35">
      <c r="B42" s="509"/>
      <c r="C42" s="510"/>
      <c r="D42" s="510"/>
      <c r="E42" s="511"/>
    </row>
    <row r="43" spans="1:18" ht="97.25" customHeight="1" x14ac:dyDescent="0.5">
      <c r="B43" s="503" t="str">
        <f>template_label_efrag_is_funded_by_the_european_union_through_the_single_market_programme</f>
        <v>EFRAG is funded by the European Union through the Single Market Programme in which the EEA-EFTA countries (Norway, Iceland and Liechtenstein), as well as Kosovo participate. Any views and opinions expressed are however those of the author(s) only and do not necessarily reflect those of the European Union, the European Commission or of countries that participate in the Single Market Programme. Neither the European Union, the European Commission nor countries participating in the Single market Programme can be held responsible for them. © 2025 EFRAG All rights reserved.</v>
      </c>
      <c r="C43" s="504"/>
      <c r="D43" s="504"/>
      <c r="E43" s="505"/>
    </row>
    <row r="44" spans="1:18" ht="21" x14ac:dyDescent="0.5">
      <c r="B44" s="506" t="str">
        <f>template_label_reproduction_and_use_rights_are_strictly_limited</f>
        <v>Reproduction and use rights are strictly limited. For further details please contact efragsecretariat@efrag.org</v>
      </c>
      <c r="C44" s="507"/>
      <c r="D44" s="507"/>
      <c r="E44" s="508"/>
    </row>
  </sheetData>
  <sheetProtection algorithmName="SHA-512" hashValue="OGZJ1e8ayZyXNFnyYydkryk/8fu7m4q8g77YthHfLuz6voGe8T+AQ4VoLYMyzP711xtCIFVOkfj30SEfXG7hAg==" saltValue="8uwfXjgr5qIcC3ImUXkOpA==" spinCount="100000" sheet="1" formatColumns="0" formatRows="0"/>
  <mergeCells count="22">
    <mergeCell ref="B43:E43"/>
    <mergeCell ref="B44:E44"/>
    <mergeCell ref="B42:E42"/>
    <mergeCell ref="B20:E20"/>
    <mergeCell ref="B21:E21"/>
    <mergeCell ref="B22:E22"/>
    <mergeCell ref="B23:E23"/>
    <mergeCell ref="B24:E24"/>
    <mergeCell ref="C32:E32"/>
    <mergeCell ref="C31:E31"/>
    <mergeCell ref="C28:E28"/>
    <mergeCell ref="C29:E29"/>
    <mergeCell ref="C30:E30"/>
    <mergeCell ref="B3:C3"/>
    <mergeCell ref="B15:E15"/>
    <mergeCell ref="B19:E19"/>
    <mergeCell ref="C33:E33"/>
    <mergeCell ref="C37:E37"/>
    <mergeCell ref="C36:E36"/>
    <mergeCell ref="C35:E35"/>
    <mergeCell ref="C34:E34"/>
    <mergeCell ref="B25:E25"/>
  </mergeCells>
  <phoneticPr fontId="3" type="noConversion"/>
  <dataValidations count="1">
    <dataValidation type="list" allowBlank="1" showInputMessage="1" showErrorMessage="1" sqref="C11" xr:uid="{84072F8F-C3B1-4691-857F-F393651AC632}">
      <formula1>template_translations</formula1>
    </dataValidation>
  </dataValidations>
  <hyperlinks>
    <hyperlink ref="C10" r:id="rId1" xr:uid="{BA49B7BA-5C2F-4722-8E1F-D5D51385FABF}"/>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21D2C-71B4-4480-A729-841BC5CAD8C5}">
  <dimension ref="A1:A21"/>
  <sheetViews>
    <sheetView workbookViewId="0"/>
  </sheetViews>
  <sheetFormatPr defaultColWidth="8.90625" defaultRowHeight="14.5" x14ac:dyDescent="0.35"/>
  <cols>
    <col min="1" max="1" width="78.36328125" style="10" customWidth="1"/>
    <col min="2" max="16384" width="8.90625" style="10"/>
  </cols>
  <sheetData>
    <row r="1" spans="1:1" x14ac:dyDescent="0.35">
      <c r="A1" s="255" t="s">
        <v>3707</v>
      </c>
    </row>
    <row r="2" spans="1:1" x14ac:dyDescent="0.35">
      <c r="A2" s="256"/>
    </row>
    <row r="3" spans="1:1" x14ac:dyDescent="0.35">
      <c r="A3" s="256" t="s">
        <v>3708</v>
      </c>
    </row>
    <row r="4" spans="1:1" x14ac:dyDescent="0.35">
      <c r="A4" s="256"/>
    </row>
    <row r="5" spans="1:1" x14ac:dyDescent="0.35">
      <c r="A5" s="256" t="s">
        <v>3709</v>
      </c>
    </row>
    <row r="6" spans="1:1" x14ac:dyDescent="0.35">
      <c r="A6" s="256" t="s">
        <v>3710</v>
      </c>
    </row>
    <row r="7" spans="1:1" x14ac:dyDescent="0.35">
      <c r="A7" s="256" t="s">
        <v>3711</v>
      </c>
    </row>
    <row r="8" spans="1:1" x14ac:dyDescent="0.35">
      <c r="A8" s="256" t="s">
        <v>3712</v>
      </c>
    </row>
    <row r="9" spans="1:1" x14ac:dyDescent="0.35">
      <c r="A9" s="256" t="s">
        <v>3713</v>
      </c>
    </row>
    <row r="10" spans="1:1" x14ac:dyDescent="0.35">
      <c r="A10" s="256" t="s">
        <v>3714</v>
      </c>
    </row>
    <row r="11" spans="1:1" x14ac:dyDescent="0.35">
      <c r="A11" s="256"/>
    </row>
    <row r="12" spans="1:1" x14ac:dyDescent="0.35">
      <c r="A12" s="256" t="s">
        <v>3715</v>
      </c>
    </row>
    <row r="13" spans="1:1" x14ac:dyDescent="0.35">
      <c r="A13" s="256" t="s">
        <v>3716</v>
      </c>
    </row>
    <row r="14" spans="1:1" x14ac:dyDescent="0.35">
      <c r="A14" s="256"/>
    </row>
    <row r="15" spans="1:1" x14ac:dyDescent="0.35">
      <c r="A15" s="256" t="s">
        <v>3717</v>
      </c>
    </row>
    <row r="16" spans="1:1" x14ac:dyDescent="0.35">
      <c r="A16" s="256" t="s">
        <v>3718</v>
      </c>
    </row>
    <row r="17" spans="1:1" x14ac:dyDescent="0.35">
      <c r="A17" s="256" t="s">
        <v>3719</v>
      </c>
    </row>
    <row r="18" spans="1:1" x14ac:dyDescent="0.35">
      <c r="A18" s="256" t="s">
        <v>3720</v>
      </c>
    </row>
    <row r="19" spans="1:1" x14ac:dyDescent="0.35">
      <c r="A19" s="256" t="s">
        <v>3721</v>
      </c>
    </row>
    <row r="20" spans="1:1" x14ac:dyDescent="0.35">
      <c r="A20" s="256" t="s">
        <v>3722</v>
      </c>
    </row>
    <row r="21" spans="1:1" ht="15" thickBot="1" x14ac:dyDescent="0.4">
      <c r="A21" s="257" t="s">
        <v>3723</v>
      </c>
    </row>
  </sheetData>
  <sheetProtection algorithmName="SHA-512" hashValue="Pzzbhz0TI+fUPcrpxn3iZY+99mdUOgff14EbdwlmQNRaphGItbgk633zAcN8mqzFhKnd4X3FUVcUla+ZOUWbgg==" saltValue="iAzexgvQifpq06z+5VGlBA=="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7FC05-FF15-4F3B-A168-94BA93CE0D77}">
  <sheetPr codeName="Sheet9"/>
  <dimension ref="A1:AD1049"/>
  <sheetViews>
    <sheetView zoomScaleNormal="100" workbookViewId="0"/>
  </sheetViews>
  <sheetFormatPr defaultColWidth="8.90625" defaultRowHeight="14.5" x14ac:dyDescent="0.35"/>
  <cols>
    <col min="1" max="1" width="94.08984375" customWidth="1"/>
    <col min="2" max="2" width="38.54296875" bestFit="1" customWidth="1"/>
    <col min="3" max="4" width="150.453125" bestFit="1" customWidth="1"/>
    <col min="5" max="5" width="49.54296875" bestFit="1" customWidth="1"/>
    <col min="6" max="6" width="21.453125" bestFit="1" customWidth="1"/>
    <col min="7" max="7" width="21.453125" customWidth="1"/>
    <col min="8" max="8" width="92" bestFit="1" customWidth="1"/>
    <col min="9" max="9" width="49.453125" bestFit="1" customWidth="1"/>
    <col min="10" max="10" width="44.453125" customWidth="1"/>
    <col min="11" max="11" width="99.6328125" customWidth="1"/>
    <col min="12" max="12" width="48.453125" bestFit="1" customWidth="1"/>
    <col min="13" max="13" width="20.453125" bestFit="1" customWidth="1"/>
    <col min="14" max="14" width="18" bestFit="1" customWidth="1"/>
    <col min="15" max="15" width="30.54296875" bestFit="1" customWidth="1"/>
    <col min="16" max="16" width="26.54296875" bestFit="1" customWidth="1"/>
    <col min="17" max="17" width="10.54296875" customWidth="1"/>
    <col min="18" max="18" width="13.453125" bestFit="1" customWidth="1"/>
    <col min="20" max="20" width="9.6328125" bestFit="1" customWidth="1"/>
    <col min="21" max="21" width="43.36328125" bestFit="1" customWidth="1"/>
    <col min="22" max="22" width="92" bestFit="1" customWidth="1"/>
    <col min="23" max="23" width="12.6328125" bestFit="1" customWidth="1"/>
    <col min="25" max="25" width="31.453125" customWidth="1"/>
    <col min="26" max="26" width="255.453125" bestFit="1" customWidth="1"/>
    <col min="27" max="27" width="17.453125" customWidth="1"/>
    <col min="28" max="28" width="28.6328125" customWidth="1"/>
    <col min="29" max="29" width="23.36328125" customWidth="1"/>
    <col min="30" max="30" width="17.6328125" customWidth="1"/>
  </cols>
  <sheetData>
    <row r="1" spans="1:30" ht="72.5" x14ac:dyDescent="0.35">
      <c r="A1" s="317" t="s">
        <v>3575</v>
      </c>
      <c r="B1" s="318" t="s">
        <v>40</v>
      </c>
      <c r="C1" s="319" t="s">
        <v>3508</v>
      </c>
      <c r="D1" s="318" t="s">
        <v>2655</v>
      </c>
      <c r="E1" s="6" t="s">
        <v>41</v>
      </c>
      <c r="F1" s="6" t="s">
        <v>42</v>
      </c>
      <c r="G1" s="6" t="s">
        <v>2657</v>
      </c>
      <c r="H1" s="6" t="s">
        <v>3047</v>
      </c>
      <c r="I1" s="294" t="s">
        <v>3778</v>
      </c>
      <c r="J1" s="294" t="s">
        <v>2729</v>
      </c>
      <c r="K1" s="294" t="s">
        <v>4640</v>
      </c>
      <c r="L1" s="6" t="s">
        <v>2755</v>
      </c>
      <c r="M1" s="6" t="s">
        <v>2756</v>
      </c>
      <c r="N1" s="6" t="s">
        <v>16</v>
      </c>
      <c r="O1" s="6" t="s">
        <v>2890</v>
      </c>
      <c r="P1" s="6" t="s">
        <v>2899</v>
      </c>
      <c r="Q1" s="294" t="s">
        <v>2905</v>
      </c>
      <c r="R1" s="6" t="s">
        <v>2888</v>
      </c>
      <c r="S1" s="6" t="s">
        <v>3025</v>
      </c>
      <c r="T1" s="6" t="s">
        <v>3026</v>
      </c>
      <c r="U1" s="6" t="s">
        <v>3045</v>
      </c>
      <c r="V1" s="6" t="s">
        <v>3048</v>
      </c>
      <c r="W1" s="6" t="s">
        <v>3064</v>
      </c>
      <c r="X1" s="6" t="s">
        <v>3026</v>
      </c>
      <c r="Y1" s="320" t="s">
        <v>3070</v>
      </c>
      <c r="Z1" s="321" t="s">
        <v>3096</v>
      </c>
      <c r="AA1" s="320" t="s">
        <v>3561</v>
      </c>
      <c r="AB1" s="322" t="s">
        <v>3099</v>
      </c>
      <c r="AC1" s="11" t="s">
        <v>3678</v>
      </c>
      <c r="AD1" s="11" t="s">
        <v>3680</v>
      </c>
    </row>
    <row r="2" spans="1:30" x14ac:dyDescent="0.35">
      <c r="A2" s="323" t="s">
        <v>43</v>
      </c>
      <c r="B2" t="s">
        <v>2653</v>
      </c>
      <c r="C2" s="324" t="s">
        <v>3111</v>
      </c>
      <c r="D2" t="str">
        <f t="shared" ref="D2:D65" si="0">_xlfn.CONCAT("NACE ", A2)</f>
        <v>NACE All Economic Activities (NACE) / NA [member]</v>
      </c>
      <c r="E2" s="325" t="s">
        <v>44</v>
      </c>
      <c r="F2" t="s">
        <v>45</v>
      </c>
      <c r="G2" t="str">
        <f>RIGHT(F2,2)</f>
        <v>AD</v>
      </c>
      <c r="H2" t="s">
        <v>2656</v>
      </c>
      <c r="I2" t="s">
        <v>2728</v>
      </c>
      <c r="J2" t="s">
        <v>2730</v>
      </c>
      <c r="K2" t="s">
        <v>4641</v>
      </c>
      <c r="L2" t="s">
        <v>2751</v>
      </c>
      <c r="M2" t="s">
        <v>2757</v>
      </c>
      <c r="N2" t="s">
        <v>2877</v>
      </c>
      <c r="O2" t="s">
        <v>2891</v>
      </c>
      <c r="P2" t="s">
        <v>3553</v>
      </c>
      <c r="Q2" t="s">
        <v>2906</v>
      </c>
      <c r="R2" t="s">
        <v>2650</v>
      </c>
      <c r="S2">
        <v>2000</v>
      </c>
      <c r="T2">
        <v>1</v>
      </c>
      <c r="U2" t="s">
        <v>3576</v>
      </c>
      <c r="V2" t="s">
        <v>6495</v>
      </c>
      <c r="W2" s="326">
        <v>1</v>
      </c>
      <c r="X2" t="s">
        <v>3027</v>
      </c>
      <c r="Y2" t="s">
        <v>2757</v>
      </c>
      <c r="Z2" s="38" t="s">
        <v>2732</v>
      </c>
      <c r="AA2" t="s">
        <v>3779</v>
      </c>
      <c r="AB2" s="2" t="s">
        <v>3100</v>
      </c>
      <c r="AC2">
        <v>1</v>
      </c>
      <c r="AD2" t="s">
        <v>3681</v>
      </c>
    </row>
    <row r="3" spans="1:30" ht="29" x14ac:dyDescent="0.35">
      <c r="A3" s="325" t="s">
        <v>46</v>
      </c>
      <c r="B3" t="s">
        <v>47</v>
      </c>
      <c r="C3" s="327" t="s">
        <v>3112</v>
      </c>
      <c r="D3" s="325" t="str">
        <f t="shared" si="0"/>
        <v>NACE A - AGRICULTURE, FORESTRY AND FISHING</v>
      </c>
      <c r="E3" s="325" t="s">
        <v>48</v>
      </c>
      <c r="F3" t="s">
        <v>49</v>
      </c>
      <c r="G3" t="str">
        <f t="shared" ref="G3:G66" si="1">RIGHT(F3,2)</f>
        <v>AE</v>
      </c>
      <c r="H3" t="s">
        <v>6495</v>
      </c>
      <c r="I3" t="s">
        <v>2727</v>
      </c>
      <c r="J3" t="s">
        <v>2731</v>
      </c>
      <c r="K3" t="s">
        <v>4662</v>
      </c>
      <c r="L3" t="s">
        <v>2654</v>
      </c>
      <c r="M3" t="s">
        <v>2761</v>
      </c>
      <c r="N3" t="s">
        <v>2878</v>
      </c>
      <c r="O3" t="s">
        <v>2892</v>
      </c>
      <c r="P3" t="s">
        <v>3555</v>
      </c>
      <c r="Q3" t="s">
        <v>2907</v>
      </c>
      <c r="R3" t="s">
        <v>2651</v>
      </c>
      <c r="S3">
        <v>2001</v>
      </c>
      <c r="T3">
        <v>2</v>
      </c>
      <c r="U3" t="s">
        <v>3044</v>
      </c>
      <c r="V3" t="s">
        <v>6496</v>
      </c>
      <c r="W3" s="326">
        <v>2</v>
      </c>
      <c r="X3" t="s">
        <v>3028</v>
      </c>
      <c r="Y3" t="s">
        <v>2761</v>
      </c>
      <c r="Z3" t="s">
        <v>2764</v>
      </c>
      <c r="AA3" t="s">
        <v>3780</v>
      </c>
      <c r="AB3" s="2" t="s">
        <v>3101</v>
      </c>
      <c r="AC3">
        <v>2</v>
      </c>
      <c r="AD3" t="s">
        <v>3682</v>
      </c>
    </row>
    <row r="4" spans="1:30" x14ac:dyDescent="0.35">
      <c r="A4" s="324" t="s">
        <v>50</v>
      </c>
      <c r="B4" t="s">
        <v>51</v>
      </c>
      <c r="C4" s="327" t="s">
        <v>3113</v>
      </c>
      <c r="D4" s="324" t="str">
        <f t="shared" si="0"/>
        <v>NACE A - 01 Crop and animal production, hunting and related service activities</v>
      </c>
      <c r="E4" s="325" t="s">
        <v>52</v>
      </c>
      <c r="F4" t="s">
        <v>53</v>
      </c>
      <c r="G4" t="str">
        <f t="shared" si="1"/>
        <v>AF</v>
      </c>
      <c r="H4" t="s">
        <v>6496</v>
      </c>
      <c r="I4" t="s">
        <v>2726</v>
      </c>
      <c r="K4" t="s">
        <v>4663</v>
      </c>
      <c r="L4" t="s">
        <v>2752</v>
      </c>
      <c r="M4" t="s">
        <v>3554</v>
      </c>
      <c r="N4" t="s">
        <v>2879</v>
      </c>
      <c r="O4" t="s">
        <v>2893</v>
      </c>
      <c r="R4" t="s">
        <v>2908</v>
      </c>
      <c r="S4">
        <v>2002</v>
      </c>
      <c r="T4">
        <v>3</v>
      </c>
      <c r="V4" t="s">
        <v>6497</v>
      </c>
      <c r="W4" s="326">
        <v>3</v>
      </c>
      <c r="X4" t="s">
        <v>3029</v>
      </c>
      <c r="Z4" t="s">
        <v>2765</v>
      </c>
      <c r="AA4" t="s">
        <v>3781</v>
      </c>
      <c r="AC4">
        <v>3</v>
      </c>
      <c r="AD4" t="s">
        <v>3683</v>
      </c>
    </row>
    <row r="5" spans="1:30" x14ac:dyDescent="0.35">
      <c r="A5" s="327" t="s">
        <v>54</v>
      </c>
      <c r="B5" t="s">
        <v>55</v>
      </c>
      <c r="C5" s="327" t="s">
        <v>3114</v>
      </c>
      <c r="D5" s="327" t="str">
        <f t="shared" si="0"/>
        <v>NACE A - 01.1 Growing of non-perennial crops</v>
      </c>
      <c r="E5" s="325" t="s">
        <v>56</v>
      </c>
      <c r="F5" t="s">
        <v>57</v>
      </c>
      <c r="G5" t="str">
        <f t="shared" si="1"/>
        <v>AG</v>
      </c>
      <c r="H5" t="s">
        <v>6497</v>
      </c>
      <c r="I5" t="s">
        <v>2725</v>
      </c>
      <c r="K5" t="s">
        <v>4664</v>
      </c>
      <c r="L5" t="s">
        <v>2753</v>
      </c>
      <c r="O5" t="s">
        <v>2894</v>
      </c>
      <c r="S5">
        <v>2003</v>
      </c>
      <c r="T5">
        <v>4</v>
      </c>
      <c r="V5" t="s">
        <v>6498</v>
      </c>
      <c r="W5" s="326">
        <v>4</v>
      </c>
      <c r="X5" t="s">
        <v>3030</v>
      </c>
      <c r="Z5" t="s">
        <v>2766</v>
      </c>
      <c r="AA5" t="s">
        <v>3782</v>
      </c>
      <c r="AC5">
        <v>4</v>
      </c>
      <c r="AD5" t="s">
        <v>3684</v>
      </c>
    </row>
    <row r="6" spans="1:30" x14ac:dyDescent="0.35">
      <c r="A6" s="328" t="s">
        <v>58</v>
      </c>
      <c r="B6" t="s">
        <v>59</v>
      </c>
      <c r="C6" s="327" t="s">
        <v>3115</v>
      </c>
      <c r="D6" s="328" t="str">
        <f t="shared" si="0"/>
        <v>NACE A - 01.11 Growing of cereals, other than rice, leguminous crops and oil seeds</v>
      </c>
      <c r="E6" s="325" t="s">
        <v>60</v>
      </c>
      <c r="F6" t="s">
        <v>61</v>
      </c>
      <c r="G6" t="str">
        <f t="shared" si="1"/>
        <v>AI</v>
      </c>
      <c r="H6" t="s">
        <v>6498</v>
      </c>
      <c r="I6" t="s">
        <v>3509</v>
      </c>
      <c r="K6" t="s">
        <v>4665</v>
      </c>
      <c r="L6" t="s">
        <v>2754</v>
      </c>
      <c r="O6" t="s">
        <v>2895</v>
      </c>
      <c r="S6">
        <v>2004</v>
      </c>
      <c r="T6">
        <v>5</v>
      </c>
      <c r="V6" t="s">
        <v>6499</v>
      </c>
      <c r="W6" s="326">
        <v>5</v>
      </c>
      <c r="X6" t="s">
        <v>3031</v>
      </c>
      <c r="Z6" t="s">
        <v>2767</v>
      </c>
      <c r="AA6" t="s">
        <v>3783</v>
      </c>
      <c r="AC6">
        <v>5</v>
      </c>
    </row>
    <row r="7" spans="1:30" x14ac:dyDescent="0.35">
      <c r="A7" s="328" t="s">
        <v>62</v>
      </c>
      <c r="B7" t="s">
        <v>63</v>
      </c>
      <c r="C7" s="327" t="s">
        <v>3116</v>
      </c>
      <c r="D7" s="328" t="str">
        <f t="shared" si="0"/>
        <v>NACE A - 01.12 Growing of rice</v>
      </c>
      <c r="E7" s="325" t="s">
        <v>64</v>
      </c>
      <c r="F7" t="s">
        <v>65</v>
      </c>
      <c r="G7" t="str">
        <f t="shared" si="1"/>
        <v>AL</v>
      </c>
      <c r="H7" t="s">
        <v>6499</v>
      </c>
      <c r="I7" t="s">
        <v>2724</v>
      </c>
      <c r="K7" t="s">
        <v>4666</v>
      </c>
      <c r="O7" t="s">
        <v>2896</v>
      </c>
      <c r="S7">
        <v>2005</v>
      </c>
      <c r="T7">
        <v>6</v>
      </c>
      <c r="V7" t="s">
        <v>6500</v>
      </c>
      <c r="W7" s="326">
        <v>6</v>
      </c>
      <c r="X7" t="s">
        <v>3032</v>
      </c>
      <c r="Z7" t="s">
        <v>2768</v>
      </c>
      <c r="AA7" t="s">
        <v>3784</v>
      </c>
      <c r="AC7">
        <v>6</v>
      </c>
    </row>
    <row r="8" spans="1:30" x14ac:dyDescent="0.35">
      <c r="A8" s="328" t="s">
        <v>66</v>
      </c>
      <c r="B8" t="s">
        <v>67</v>
      </c>
      <c r="C8" s="327" t="s">
        <v>3117</v>
      </c>
      <c r="D8" s="328" t="str">
        <f t="shared" si="0"/>
        <v>NACE A - 01.13 Growing of vegetables and melons, roots and tubers</v>
      </c>
      <c r="E8" s="325" t="s">
        <v>68</v>
      </c>
      <c r="F8" t="s">
        <v>69</v>
      </c>
      <c r="G8" t="str">
        <f t="shared" si="1"/>
        <v>AM</v>
      </c>
      <c r="H8" t="s">
        <v>6500</v>
      </c>
      <c r="I8" t="s">
        <v>2723</v>
      </c>
      <c r="K8" t="s">
        <v>4667</v>
      </c>
      <c r="O8" t="s">
        <v>2652</v>
      </c>
      <c r="S8">
        <v>2006</v>
      </c>
      <c r="T8">
        <v>7</v>
      </c>
      <c r="V8" t="s">
        <v>6501</v>
      </c>
      <c r="W8" s="326">
        <v>7</v>
      </c>
      <c r="X8" t="s">
        <v>3033</v>
      </c>
      <c r="Z8" t="s">
        <v>2733</v>
      </c>
      <c r="AA8" t="s">
        <v>3785</v>
      </c>
      <c r="AC8">
        <v>7</v>
      </c>
    </row>
    <row r="9" spans="1:30" x14ac:dyDescent="0.35">
      <c r="A9" s="328" t="s">
        <v>70</v>
      </c>
      <c r="B9" t="s">
        <v>71</v>
      </c>
      <c r="C9" s="327" t="s">
        <v>3118</v>
      </c>
      <c r="D9" s="328" t="str">
        <f t="shared" si="0"/>
        <v>NACE A - 01.14 Growing of sugar cane</v>
      </c>
      <c r="E9" s="325" t="s">
        <v>72</v>
      </c>
      <c r="F9" t="s">
        <v>73</v>
      </c>
      <c r="G9" t="str">
        <f t="shared" si="1"/>
        <v>AN</v>
      </c>
      <c r="H9" t="s">
        <v>6501</v>
      </c>
      <c r="I9" t="s">
        <v>2722</v>
      </c>
      <c r="K9" t="s">
        <v>4668</v>
      </c>
      <c r="O9" t="s">
        <v>2897</v>
      </c>
      <c r="S9">
        <v>2007</v>
      </c>
      <c r="T9">
        <v>8</v>
      </c>
      <c r="V9" t="s">
        <v>6502</v>
      </c>
      <c r="W9" s="326">
        <v>8</v>
      </c>
      <c r="X9" t="s">
        <v>3034</v>
      </c>
      <c r="Z9" t="s">
        <v>2769</v>
      </c>
      <c r="AA9" t="s">
        <v>3786</v>
      </c>
      <c r="AC9">
        <v>8</v>
      </c>
    </row>
    <row r="10" spans="1:30" x14ac:dyDescent="0.35">
      <c r="A10" s="328" t="s">
        <v>74</v>
      </c>
      <c r="B10" t="s">
        <v>75</v>
      </c>
      <c r="C10" s="324" t="s">
        <v>3119</v>
      </c>
      <c r="D10" s="328" t="str">
        <f t="shared" si="0"/>
        <v>NACE A - 01.15 Growing of tobacco</v>
      </c>
      <c r="E10" s="325" t="s">
        <v>76</v>
      </c>
      <c r="F10" t="s">
        <v>77</v>
      </c>
      <c r="G10" t="str">
        <f t="shared" si="1"/>
        <v>AO</v>
      </c>
      <c r="H10" t="s">
        <v>6502</v>
      </c>
      <c r="I10" t="s">
        <v>2721</v>
      </c>
      <c r="K10" t="s">
        <v>4669</v>
      </c>
      <c r="O10" t="s">
        <v>2898</v>
      </c>
      <c r="S10">
        <v>2008</v>
      </c>
      <c r="T10">
        <v>9</v>
      </c>
      <c r="V10" t="s">
        <v>31</v>
      </c>
      <c r="W10" s="326">
        <v>9</v>
      </c>
      <c r="X10" t="s">
        <v>3035</v>
      </c>
      <c r="Z10" t="s">
        <v>2770</v>
      </c>
      <c r="AA10" t="s">
        <v>3787</v>
      </c>
      <c r="AC10">
        <v>9</v>
      </c>
    </row>
    <row r="11" spans="1:30" x14ac:dyDescent="0.35">
      <c r="A11" s="328" t="s">
        <v>78</v>
      </c>
      <c r="B11" t="s">
        <v>79</v>
      </c>
      <c r="C11" s="327" t="s">
        <v>3120</v>
      </c>
      <c r="D11" s="328" t="str">
        <f t="shared" si="0"/>
        <v>NACE A - 01.16 Growing of fibre crops</v>
      </c>
      <c r="E11" s="325" t="s">
        <v>80</v>
      </c>
      <c r="F11" t="s">
        <v>81</v>
      </c>
      <c r="G11" t="str">
        <f t="shared" si="1"/>
        <v>AQ</v>
      </c>
      <c r="H11" t="s">
        <v>31</v>
      </c>
      <c r="I11" t="s">
        <v>2720</v>
      </c>
      <c r="K11" t="s">
        <v>4670</v>
      </c>
      <c r="O11" t="s">
        <v>2889</v>
      </c>
      <c r="S11">
        <v>2009</v>
      </c>
      <c r="T11">
        <v>10</v>
      </c>
      <c r="V11" t="s">
        <v>6503</v>
      </c>
      <c r="W11" s="326">
        <v>10</v>
      </c>
      <c r="X11" t="s">
        <v>3036</v>
      </c>
      <c r="Z11" t="s">
        <v>2771</v>
      </c>
      <c r="AA11" t="s">
        <v>3788</v>
      </c>
      <c r="AC11">
        <v>10</v>
      </c>
    </row>
    <row r="12" spans="1:30" x14ac:dyDescent="0.35">
      <c r="A12" s="328" t="s">
        <v>82</v>
      </c>
      <c r="B12" t="s">
        <v>83</v>
      </c>
      <c r="C12" s="327" t="s">
        <v>3121</v>
      </c>
      <c r="D12" s="328" t="str">
        <f t="shared" si="0"/>
        <v>NACE A - 01.19 Growing of other non-perennial crops</v>
      </c>
      <c r="E12" s="325" t="s">
        <v>84</v>
      </c>
      <c r="F12" t="s">
        <v>85</v>
      </c>
      <c r="G12" t="str">
        <f t="shared" si="1"/>
        <v>AR</v>
      </c>
      <c r="H12" t="s">
        <v>6503</v>
      </c>
      <c r="I12" t="s">
        <v>3510</v>
      </c>
      <c r="K12" t="s">
        <v>4671</v>
      </c>
      <c r="O12" t="s">
        <v>28</v>
      </c>
      <c r="S12">
        <v>2010</v>
      </c>
      <c r="T12">
        <v>11</v>
      </c>
      <c r="V12" t="s">
        <v>38</v>
      </c>
      <c r="W12" s="326">
        <v>11</v>
      </c>
      <c r="X12" t="s">
        <v>3037</v>
      </c>
      <c r="Z12" t="s">
        <v>2772</v>
      </c>
      <c r="AA12" t="s">
        <v>3789</v>
      </c>
      <c r="AC12">
        <v>11</v>
      </c>
    </row>
    <row r="13" spans="1:30" x14ac:dyDescent="0.35">
      <c r="A13" s="327" t="s">
        <v>86</v>
      </c>
      <c r="B13" t="s">
        <v>87</v>
      </c>
      <c r="C13" s="327" t="s">
        <v>3122</v>
      </c>
      <c r="D13" s="327" t="str">
        <f t="shared" si="0"/>
        <v>NACE A - 01.2 Growing of perennial crops</v>
      </c>
      <c r="E13" s="325" t="s">
        <v>88</v>
      </c>
      <c r="F13" t="s">
        <v>89</v>
      </c>
      <c r="G13" t="str">
        <f t="shared" si="1"/>
        <v>AS</v>
      </c>
      <c r="H13" t="s">
        <v>38</v>
      </c>
      <c r="I13" t="s">
        <v>2719</v>
      </c>
      <c r="K13" t="s">
        <v>4672</v>
      </c>
      <c r="S13">
        <v>2011</v>
      </c>
      <c r="T13">
        <v>12</v>
      </c>
      <c r="V13" t="s">
        <v>12</v>
      </c>
      <c r="W13" s="326">
        <v>12</v>
      </c>
      <c r="X13" t="s">
        <v>3038</v>
      </c>
      <c r="Z13" t="s">
        <v>2773</v>
      </c>
      <c r="AA13" t="s">
        <v>3790</v>
      </c>
      <c r="AC13">
        <v>12</v>
      </c>
    </row>
    <row r="14" spans="1:30" x14ac:dyDescent="0.35">
      <c r="A14" s="328" t="s">
        <v>90</v>
      </c>
      <c r="B14" t="s">
        <v>91</v>
      </c>
      <c r="C14" s="327" t="s">
        <v>3123</v>
      </c>
      <c r="D14" s="328" t="str">
        <f t="shared" si="0"/>
        <v>NACE A - 01.21 Growing of grapes</v>
      </c>
      <c r="E14" s="325" t="s">
        <v>92</v>
      </c>
      <c r="F14" t="s">
        <v>93</v>
      </c>
      <c r="G14" t="str">
        <f t="shared" si="1"/>
        <v>AT</v>
      </c>
      <c r="H14" t="s">
        <v>12</v>
      </c>
      <c r="I14" t="s">
        <v>2718</v>
      </c>
      <c r="K14" t="s">
        <v>4673</v>
      </c>
      <c r="S14">
        <v>2012</v>
      </c>
      <c r="V14" t="s">
        <v>6504</v>
      </c>
      <c r="Z14" t="s">
        <v>2774</v>
      </c>
      <c r="AA14" t="s">
        <v>3791</v>
      </c>
      <c r="AC14">
        <v>13</v>
      </c>
    </row>
    <row r="15" spans="1:30" x14ac:dyDescent="0.35">
      <c r="A15" s="328" t="s">
        <v>94</v>
      </c>
      <c r="B15" t="s">
        <v>95</v>
      </c>
      <c r="C15" s="324" t="s">
        <v>3124</v>
      </c>
      <c r="D15" s="328" t="str">
        <f t="shared" si="0"/>
        <v>NACE A - 01.22 Growing of tropical and subtropical fruits</v>
      </c>
      <c r="E15" s="325" t="s">
        <v>96</v>
      </c>
      <c r="F15" t="s">
        <v>97</v>
      </c>
      <c r="G15" t="str">
        <f t="shared" si="1"/>
        <v>AU</v>
      </c>
      <c r="H15" t="s">
        <v>6504</v>
      </c>
      <c r="I15" t="s">
        <v>2717</v>
      </c>
      <c r="K15" t="s">
        <v>4674</v>
      </c>
      <c r="S15">
        <v>2013</v>
      </c>
      <c r="V15" t="s">
        <v>6505</v>
      </c>
      <c r="Z15" t="s">
        <v>2775</v>
      </c>
      <c r="AA15" t="s">
        <v>3792</v>
      </c>
      <c r="AC15">
        <v>14</v>
      </c>
    </row>
    <row r="16" spans="1:30" x14ac:dyDescent="0.35">
      <c r="A16" s="328" t="s">
        <v>98</v>
      </c>
      <c r="B16" t="s">
        <v>99</v>
      </c>
      <c r="C16" s="327" t="s">
        <v>3125</v>
      </c>
      <c r="D16" s="328" t="str">
        <f t="shared" si="0"/>
        <v>NACE A - 01.23 Growing of citrus fruits</v>
      </c>
      <c r="E16" s="325" t="s">
        <v>100</v>
      </c>
      <c r="F16" t="s">
        <v>101</v>
      </c>
      <c r="G16" t="str">
        <f t="shared" si="1"/>
        <v>AW</v>
      </c>
      <c r="H16" t="s">
        <v>6505</v>
      </c>
      <c r="I16" t="s">
        <v>2716</v>
      </c>
      <c r="K16" t="s">
        <v>4675</v>
      </c>
      <c r="S16">
        <v>2014</v>
      </c>
      <c r="V16" t="s">
        <v>20</v>
      </c>
      <c r="Z16" t="s">
        <v>2734</v>
      </c>
      <c r="AA16" t="s">
        <v>3793</v>
      </c>
      <c r="AC16">
        <v>15</v>
      </c>
    </row>
    <row r="17" spans="1:29" x14ac:dyDescent="0.35">
      <c r="A17" s="328" t="s">
        <v>102</v>
      </c>
      <c r="B17" t="s">
        <v>103</v>
      </c>
      <c r="C17" s="327" t="s">
        <v>3126</v>
      </c>
      <c r="D17" s="328" t="str">
        <f t="shared" si="0"/>
        <v>NACE A - 01.24 Growing of pome fruits and stone fruits</v>
      </c>
      <c r="E17" s="325" t="s">
        <v>104</v>
      </c>
      <c r="F17" t="s">
        <v>105</v>
      </c>
      <c r="G17" t="str">
        <f t="shared" si="1"/>
        <v>AX</v>
      </c>
      <c r="H17" t="s">
        <v>20</v>
      </c>
      <c r="I17" t="s">
        <v>2715</v>
      </c>
      <c r="K17" t="s">
        <v>4676</v>
      </c>
      <c r="S17">
        <v>2015</v>
      </c>
      <c r="V17" t="s">
        <v>33</v>
      </c>
      <c r="Z17" t="s">
        <v>2776</v>
      </c>
      <c r="AA17" t="s">
        <v>3794</v>
      </c>
      <c r="AC17">
        <v>16</v>
      </c>
    </row>
    <row r="18" spans="1:29" x14ac:dyDescent="0.35">
      <c r="A18" s="328" t="s">
        <v>106</v>
      </c>
      <c r="B18" t="s">
        <v>107</v>
      </c>
      <c r="C18" s="327" t="s">
        <v>3127</v>
      </c>
      <c r="D18" s="328" t="str">
        <f t="shared" si="0"/>
        <v>NACE A - 01.25 Growing of other tree and bush fruits and nuts</v>
      </c>
      <c r="E18" s="325" t="s">
        <v>108</v>
      </c>
      <c r="F18" t="s">
        <v>109</v>
      </c>
      <c r="G18" t="str">
        <f t="shared" si="1"/>
        <v>AZ</v>
      </c>
      <c r="H18" t="s">
        <v>33</v>
      </c>
      <c r="I18" t="s">
        <v>3524</v>
      </c>
      <c r="K18" t="s">
        <v>4677</v>
      </c>
      <c r="S18">
        <v>2016</v>
      </c>
      <c r="V18" t="s">
        <v>35</v>
      </c>
      <c r="Z18" t="s">
        <v>2777</v>
      </c>
      <c r="AA18" t="s">
        <v>3795</v>
      </c>
      <c r="AC18">
        <v>17</v>
      </c>
    </row>
    <row r="19" spans="1:29" x14ac:dyDescent="0.35">
      <c r="A19" s="328" t="s">
        <v>110</v>
      </c>
      <c r="B19" t="s">
        <v>111</v>
      </c>
      <c r="C19" s="325" t="s">
        <v>3110</v>
      </c>
      <c r="D19" s="328" t="str">
        <f t="shared" si="0"/>
        <v>NACE A - 01.26 Growing of oleaginous fruits</v>
      </c>
      <c r="E19" s="325" t="s">
        <v>112</v>
      </c>
      <c r="F19" t="s">
        <v>113</v>
      </c>
      <c r="G19" t="str">
        <f t="shared" si="1"/>
        <v>BA</v>
      </c>
      <c r="H19" t="s">
        <v>35</v>
      </c>
      <c r="I19" t="s">
        <v>3511</v>
      </c>
      <c r="K19" t="s">
        <v>4678</v>
      </c>
      <c r="S19">
        <v>2017</v>
      </c>
      <c r="V19" t="s">
        <v>37</v>
      </c>
      <c r="Z19" t="s">
        <v>2778</v>
      </c>
      <c r="AA19" t="s">
        <v>3796</v>
      </c>
      <c r="AC19">
        <v>18</v>
      </c>
    </row>
    <row r="20" spans="1:29" x14ac:dyDescent="0.35">
      <c r="A20" s="328" t="s">
        <v>114</v>
      </c>
      <c r="B20" t="s">
        <v>115</v>
      </c>
      <c r="C20" s="324" t="s">
        <v>3129</v>
      </c>
      <c r="D20" s="328" t="str">
        <f t="shared" si="0"/>
        <v>NACE A - 01.27 Growing of beverage crops</v>
      </c>
      <c r="E20" s="325" t="s">
        <v>116</v>
      </c>
      <c r="F20" t="s">
        <v>117</v>
      </c>
      <c r="G20" t="str">
        <f t="shared" si="1"/>
        <v>BB</v>
      </c>
      <c r="H20" t="s">
        <v>37</v>
      </c>
      <c r="I20" t="s">
        <v>2714</v>
      </c>
      <c r="K20" t="s">
        <v>4679</v>
      </c>
      <c r="S20">
        <v>2018</v>
      </c>
      <c r="V20" t="s">
        <v>6506</v>
      </c>
      <c r="Z20" t="s">
        <v>2735</v>
      </c>
      <c r="AA20" t="s">
        <v>3797</v>
      </c>
      <c r="AC20">
        <v>19</v>
      </c>
    </row>
    <row r="21" spans="1:29" x14ac:dyDescent="0.35">
      <c r="A21" s="328" t="s">
        <v>118</v>
      </c>
      <c r="B21" t="s">
        <v>119</v>
      </c>
      <c r="C21" s="324" t="s">
        <v>3132</v>
      </c>
      <c r="D21" s="328" t="str">
        <f t="shared" si="0"/>
        <v>NACE A - 01.28 Growing of spices, aromatic, drug and pharmaceutical crops</v>
      </c>
      <c r="E21" s="325" t="s">
        <v>120</v>
      </c>
      <c r="F21" t="s">
        <v>121</v>
      </c>
      <c r="G21" t="str">
        <f t="shared" si="1"/>
        <v>BD</v>
      </c>
      <c r="H21" t="s">
        <v>6506</v>
      </c>
      <c r="I21" t="s">
        <v>2713</v>
      </c>
      <c r="K21" t="s">
        <v>4680</v>
      </c>
      <c r="S21">
        <v>2019</v>
      </c>
      <c r="V21" t="s">
        <v>39</v>
      </c>
      <c r="Z21" t="s">
        <v>2779</v>
      </c>
      <c r="AA21" t="s">
        <v>3798</v>
      </c>
      <c r="AC21">
        <v>20</v>
      </c>
    </row>
    <row r="22" spans="1:29" x14ac:dyDescent="0.35">
      <c r="A22" s="328" t="s">
        <v>122</v>
      </c>
      <c r="B22" t="s">
        <v>123</v>
      </c>
      <c r="C22" s="327" t="s">
        <v>3130</v>
      </c>
      <c r="D22" s="328" t="str">
        <f t="shared" si="0"/>
        <v>NACE A - 01.29 Growing of other perennial crops</v>
      </c>
      <c r="E22" s="325" t="s">
        <v>124</v>
      </c>
      <c r="F22" t="s">
        <v>125</v>
      </c>
      <c r="G22" t="str">
        <f t="shared" si="1"/>
        <v>BE</v>
      </c>
      <c r="H22" t="s">
        <v>39</v>
      </c>
      <c r="I22" t="s">
        <v>2712</v>
      </c>
      <c r="K22" t="s">
        <v>4681</v>
      </c>
      <c r="S22">
        <v>2020</v>
      </c>
      <c r="V22" s="90"/>
      <c r="Z22" t="s">
        <v>2780</v>
      </c>
      <c r="AA22" t="s">
        <v>3799</v>
      </c>
      <c r="AC22">
        <v>21</v>
      </c>
    </row>
    <row r="23" spans="1:29" x14ac:dyDescent="0.35">
      <c r="A23" s="327" t="s">
        <v>126</v>
      </c>
      <c r="B23" t="s">
        <v>127</v>
      </c>
      <c r="C23" s="327" t="s">
        <v>3131</v>
      </c>
      <c r="D23" s="327" t="str">
        <f t="shared" si="0"/>
        <v>NACE A - 01.3 Plant propagation</v>
      </c>
      <c r="E23" s="325" t="s">
        <v>128</v>
      </c>
      <c r="F23" t="s">
        <v>129</v>
      </c>
      <c r="G23" t="str">
        <f t="shared" si="1"/>
        <v>BF</v>
      </c>
      <c r="H23" s="90"/>
      <c r="I23" t="s">
        <v>3512</v>
      </c>
      <c r="K23" t="s">
        <v>4682</v>
      </c>
      <c r="S23">
        <v>2021</v>
      </c>
      <c r="V23" s="483"/>
      <c r="Z23" t="s">
        <v>2736</v>
      </c>
      <c r="AA23" t="s">
        <v>3800</v>
      </c>
      <c r="AC23">
        <v>22</v>
      </c>
    </row>
    <row r="24" spans="1:29" x14ac:dyDescent="0.35">
      <c r="A24" s="328" t="s">
        <v>130</v>
      </c>
      <c r="B24" t="s">
        <v>131</v>
      </c>
      <c r="C24" s="324" t="s">
        <v>3135</v>
      </c>
      <c r="D24" s="328" t="str">
        <f t="shared" si="0"/>
        <v>NACE A - 01.30 Plant propagation</v>
      </c>
      <c r="E24" s="325" t="s">
        <v>132</v>
      </c>
      <c r="F24" t="s">
        <v>133</v>
      </c>
      <c r="G24" t="str">
        <f t="shared" si="1"/>
        <v>BG</v>
      </c>
      <c r="H24" s="483"/>
      <c r="I24" t="s">
        <v>3513</v>
      </c>
      <c r="K24" t="s">
        <v>4683</v>
      </c>
      <c r="S24">
        <v>2022</v>
      </c>
      <c r="V24" s="483"/>
      <c r="Z24" t="s">
        <v>2781</v>
      </c>
      <c r="AA24" t="s">
        <v>3801</v>
      </c>
      <c r="AC24">
        <v>23</v>
      </c>
    </row>
    <row r="25" spans="1:29" x14ac:dyDescent="0.35">
      <c r="A25" s="327" t="s">
        <v>134</v>
      </c>
      <c r="B25" t="s">
        <v>135</v>
      </c>
      <c r="C25" s="327" t="s">
        <v>3133</v>
      </c>
      <c r="D25" s="327" t="str">
        <f t="shared" si="0"/>
        <v>NACE A - 01.4 Animal production</v>
      </c>
      <c r="E25" s="325" t="s">
        <v>136</v>
      </c>
      <c r="F25" t="s">
        <v>137</v>
      </c>
      <c r="G25" t="str">
        <f t="shared" si="1"/>
        <v>BH</v>
      </c>
      <c r="H25" s="483"/>
      <c r="I25" t="s">
        <v>3525</v>
      </c>
      <c r="K25" t="s">
        <v>4684</v>
      </c>
      <c r="S25">
        <v>2023</v>
      </c>
      <c r="V25" s="483"/>
      <c r="Z25" t="s">
        <v>2782</v>
      </c>
      <c r="AA25" t="s">
        <v>3802</v>
      </c>
      <c r="AC25">
        <v>24</v>
      </c>
    </row>
    <row r="26" spans="1:29" x14ac:dyDescent="0.35">
      <c r="A26" s="328" t="s">
        <v>138</v>
      </c>
      <c r="B26" t="s">
        <v>139</v>
      </c>
      <c r="C26" s="327" t="s">
        <v>3134</v>
      </c>
      <c r="D26" s="328" t="str">
        <f t="shared" si="0"/>
        <v>NACE A - 01.41 Raising of dairy cattle</v>
      </c>
      <c r="E26" s="325" t="s">
        <v>140</v>
      </c>
      <c r="F26" t="s">
        <v>141</v>
      </c>
      <c r="G26" t="str">
        <f t="shared" si="1"/>
        <v>BI</v>
      </c>
      <c r="H26" s="483"/>
      <c r="I26" t="s">
        <v>2711</v>
      </c>
      <c r="K26" t="s">
        <v>4685</v>
      </c>
      <c r="S26">
        <v>2024</v>
      </c>
      <c r="V26" s="483"/>
      <c r="Z26" t="s">
        <v>2783</v>
      </c>
      <c r="AA26" t="s">
        <v>3803</v>
      </c>
      <c r="AC26">
        <v>25</v>
      </c>
    </row>
    <row r="27" spans="1:29" x14ac:dyDescent="0.35">
      <c r="A27" s="328" t="s">
        <v>142</v>
      </c>
      <c r="B27" t="s">
        <v>143</v>
      </c>
      <c r="C27" s="324" t="s">
        <v>3138</v>
      </c>
      <c r="D27" s="328" t="str">
        <f t="shared" si="0"/>
        <v>NACE A - 01.42 Raising of other cattle and buffaloes</v>
      </c>
      <c r="E27" s="325" t="s">
        <v>144</v>
      </c>
      <c r="F27" t="s">
        <v>145</v>
      </c>
      <c r="G27" t="str">
        <f t="shared" si="1"/>
        <v>BJ</v>
      </c>
      <c r="H27" s="483"/>
      <c r="I27" t="s">
        <v>2710</v>
      </c>
      <c r="K27" t="s">
        <v>4686</v>
      </c>
      <c r="S27">
        <v>2025</v>
      </c>
      <c r="V27" s="483"/>
      <c r="Z27" t="s">
        <v>2784</v>
      </c>
      <c r="AA27" t="s">
        <v>3804</v>
      </c>
      <c r="AC27">
        <v>26</v>
      </c>
    </row>
    <row r="28" spans="1:29" x14ac:dyDescent="0.35">
      <c r="A28" s="328" t="s">
        <v>146</v>
      </c>
      <c r="B28" t="s">
        <v>147</v>
      </c>
      <c r="C28" s="327" t="s">
        <v>3136</v>
      </c>
      <c r="D28" s="328" t="str">
        <f t="shared" si="0"/>
        <v>NACE A - 01.43 Raising of horses and other equines</v>
      </c>
      <c r="E28" s="325" t="s">
        <v>148</v>
      </c>
      <c r="F28" t="s">
        <v>149</v>
      </c>
      <c r="G28" t="str">
        <f t="shared" si="1"/>
        <v>BL</v>
      </c>
      <c r="H28" s="483"/>
      <c r="I28" t="s">
        <v>3527</v>
      </c>
      <c r="K28" t="s">
        <v>4687</v>
      </c>
      <c r="S28">
        <v>2026</v>
      </c>
      <c r="V28" s="483"/>
      <c r="Z28" t="s">
        <v>2785</v>
      </c>
      <c r="AA28" t="s">
        <v>3805</v>
      </c>
      <c r="AC28">
        <v>27</v>
      </c>
    </row>
    <row r="29" spans="1:29" x14ac:dyDescent="0.35">
      <c r="A29" s="328" t="s">
        <v>150</v>
      </c>
      <c r="B29" t="s">
        <v>151</v>
      </c>
      <c r="C29" s="327" t="s">
        <v>3137</v>
      </c>
      <c r="D29" s="328" t="str">
        <f t="shared" si="0"/>
        <v>NACE A - 01.44 Raising of camels and camelids</v>
      </c>
      <c r="E29" s="325" t="s">
        <v>152</v>
      </c>
      <c r="F29" t="s">
        <v>153</v>
      </c>
      <c r="G29" t="str">
        <f t="shared" si="1"/>
        <v>BM</v>
      </c>
      <c r="H29" s="483"/>
      <c r="I29" t="s">
        <v>2709</v>
      </c>
      <c r="K29" t="s">
        <v>4688</v>
      </c>
      <c r="S29">
        <v>2027</v>
      </c>
      <c r="V29" s="90"/>
      <c r="Z29" t="s">
        <v>2786</v>
      </c>
      <c r="AA29" t="s">
        <v>3806</v>
      </c>
      <c r="AC29">
        <v>28</v>
      </c>
    </row>
    <row r="30" spans="1:29" x14ac:dyDescent="0.35">
      <c r="A30" s="328" t="s">
        <v>154</v>
      </c>
      <c r="B30" t="s">
        <v>155</v>
      </c>
      <c r="C30" s="324" t="s">
        <v>3141</v>
      </c>
      <c r="D30" s="328" t="str">
        <f t="shared" si="0"/>
        <v>NACE A - 01.45 Raising of sheep and goats</v>
      </c>
      <c r="E30" s="325" t="s">
        <v>156</v>
      </c>
      <c r="F30" t="s">
        <v>157</v>
      </c>
      <c r="G30" t="str">
        <f t="shared" si="1"/>
        <v>BN</v>
      </c>
      <c r="H30" s="90"/>
      <c r="I30" t="s">
        <v>2708</v>
      </c>
      <c r="K30" t="s">
        <v>4689</v>
      </c>
      <c r="S30">
        <v>2028</v>
      </c>
      <c r="V30" s="483"/>
      <c r="Z30" t="s">
        <v>2787</v>
      </c>
      <c r="AA30" t="s">
        <v>3807</v>
      </c>
      <c r="AC30">
        <v>29</v>
      </c>
    </row>
    <row r="31" spans="1:29" x14ac:dyDescent="0.35">
      <c r="A31" s="328" t="s">
        <v>158</v>
      </c>
      <c r="B31" t="s">
        <v>159</v>
      </c>
      <c r="C31" s="327" t="s">
        <v>3139</v>
      </c>
      <c r="D31" s="328" t="str">
        <f t="shared" si="0"/>
        <v>NACE A - 01.46 Raising of swine and pigs</v>
      </c>
      <c r="E31" s="325" t="s">
        <v>160</v>
      </c>
      <c r="F31" t="s">
        <v>161</v>
      </c>
      <c r="G31" t="str">
        <f t="shared" si="1"/>
        <v>BO</v>
      </c>
      <c r="H31" s="483"/>
      <c r="I31" t="s">
        <v>2707</v>
      </c>
      <c r="K31" t="s">
        <v>4642</v>
      </c>
      <c r="S31">
        <v>2029</v>
      </c>
      <c r="V31" s="482"/>
      <c r="Z31" t="s">
        <v>2737</v>
      </c>
      <c r="AA31" t="s">
        <v>3808</v>
      </c>
      <c r="AC31">
        <v>30</v>
      </c>
    </row>
    <row r="32" spans="1:29" x14ac:dyDescent="0.35">
      <c r="A32" s="328" t="s">
        <v>162</v>
      </c>
      <c r="B32" t="s">
        <v>163</v>
      </c>
      <c r="C32" s="327" t="s">
        <v>3140</v>
      </c>
      <c r="D32" s="328" t="str">
        <f t="shared" si="0"/>
        <v>NACE A - 01.47 Raising of poultry</v>
      </c>
      <c r="E32" s="325" t="s">
        <v>164</v>
      </c>
      <c r="F32" t="s">
        <v>165</v>
      </c>
      <c r="G32" t="str">
        <f t="shared" si="1"/>
        <v>BQ</v>
      </c>
      <c r="H32" s="482"/>
      <c r="I32" t="s">
        <v>2706</v>
      </c>
      <c r="K32" t="s">
        <v>4690</v>
      </c>
      <c r="S32">
        <v>2030</v>
      </c>
      <c r="V32" s="482"/>
      <c r="Z32" t="s">
        <v>2788</v>
      </c>
      <c r="AA32" t="s">
        <v>3809</v>
      </c>
      <c r="AC32">
        <v>31</v>
      </c>
    </row>
    <row r="33" spans="1:27" x14ac:dyDescent="0.35">
      <c r="A33" s="328" t="s">
        <v>166</v>
      </c>
      <c r="B33" t="s">
        <v>167</v>
      </c>
      <c r="C33" s="327" t="s">
        <v>3142</v>
      </c>
      <c r="D33" s="328" t="str">
        <f t="shared" si="0"/>
        <v>NACE A - 01.48 Raising of other animals</v>
      </c>
      <c r="E33" s="325" t="s">
        <v>168</v>
      </c>
      <c r="F33" t="s">
        <v>169</v>
      </c>
      <c r="G33" t="str">
        <f t="shared" si="1"/>
        <v>BR</v>
      </c>
      <c r="H33" s="482"/>
      <c r="I33" t="s">
        <v>2705</v>
      </c>
      <c r="K33" t="s">
        <v>4691</v>
      </c>
      <c r="S33">
        <v>2031</v>
      </c>
      <c r="V33" s="482"/>
      <c r="Z33" t="s">
        <v>2789</v>
      </c>
      <c r="AA33" t="s">
        <v>3810</v>
      </c>
    </row>
    <row r="34" spans="1:27" x14ac:dyDescent="0.35">
      <c r="A34" s="327" t="s">
        <v>170</v>
      </c>
      <c r="B34" t="s">
        <v>171</v>
      </c>
      <c r="C34" s="327" t="s">
        <v>3143</v>
      </c>
      <c r="D34" s="327" t="str">
        <f t="shared" si="0"/>
        <v>NACE A - 01.5 Mixed farming</v>
      </c>
      <c r="E34" s="325" t="s">
        <v>172</v>
      </c>
      <c r="F34" t="s">
        <v>173</v>
      </c>
      <c r="G34" t="str">
        <f t="shared" si="1"/>
        <v>BS</v>
      </c>
      <c r="H34" s="482"/>
      <c r="I34" t="s">
        <v>2704</v>
      </c>
      <c r="K34" t="s">
        <v>4692</v>
      </c>
      <c r="S34">
        <v>2032</v>
      </c>
      <c r="V34" s="483"/>
      <c r="Z34" t="s">
        <v>2790</v>
      </c>
      <c r="AA34" t="s">
        <v>3811</v>
      </c>
    </row>
    <row r="35" spans="1:27" x14ac:dyDescent="0.35">
      <c r="A35" s="328" t="s">
        <v>174</v>
      </c>
      <c r="B35" t="s">
        <v>175</v>
      </c>
      <c r="C35" s="325" t="s">
        <v>3128</v>
      </c>
      <c r="D35" s="328" t="str">
        <f t="shared" si="0"/>
        <v>NACE A - 01.50 Mixed farming</v>
      </c>
      <c r="E35" s="325" t="s">
        <v>176</v>
      </c>
      <c r="F35" t="s">
        <v>177</v>
      </c>
      <c r="G35" t="str">
        <f t="shared" si="1"/>
        <v>BT</v>
      </c>
      <c r="H35" s="483"/>
      <c r="I35" t="s">
        <v>2703</v>
      </c>
      <c r="K35" t="s">
        <v>4693</v>
      </c>
      <c r="S35">
        <v>2033</v>
      </c>
      <c r="V35" s="483"/>
      <c r="Z35" t="s">
        <v>2791</v>
      </c>
      <c r="AA35" t="s">
        <v>3812</v>
      </c>
    </row>
    <row r="36" spans="1:27" x14ac:dyDescent="0.35">
      <c r="A36" s="327" t="s">
        <v>178</v>
      </c>
      <c r="B36" t="s">
        <v>179</v>
      </c>
      <c r="C36" s="324" t="s">
        <v>3145</v>
      </c>
      <c r="D36" s="327" t="str">
        <f t="shared" si="0"/>
        <v>NACE A - 01.6 Support activities to agriculture and post-harvest crop activities</v>
      </c>
      <c r="E36" s="325" t="s">
        <v>180</v>
      </c>
      <c r="F36" t="s">
        <v>181</v>
      </c>
      <c r="G36" t="str">
        <f t="shared" si="1"/>
        <v>BU</v>
      </c>
      <c r="H36" s="483"/>
      <c r="I36" t="s">
        <v>2702</v>
      </c>
      <c r="K36" t="s">
        <v>4694</v>
      </c>
      <c r="S36">
        <v>2034</v>
      </c>
      <c r="V36" s="483"/>
      <c r="Z36" t="s">
        <v>2792</v>
      </c>
      <c r="AA36" t="s">
        <v>3813</v>
      </c>
    </row>
    <row r="37" spans="1:27" x14ac:dyDescent="0.35">
      <c r="A37" s="328" t="s">
        <v>182</v>
      </c>
      <c r="B37" t="s">
        <v>183</v>
      </c>
      <c r="C37" s="327" t="s">
        <v>3146</v>
      </c>
      <c r="D37" s="328" t="str">
        <f t="shared" si="0"/>
        <v>NACE A - 01.61 Support activities for crop production</v>
      </c>
      <c r="E37" s="325" t="s">
        <v>184</v>
      </c>
      <c r="F37" t="s">
        <v>185</v>
      </c>
      <c r="G37" t="str">
        <f t="shared" si="1"/>
        <v>BV</v>
      </c>
      <c r="H37" s="483"/>
      <c r="I37" t="s">
        <v>2701</v>
      </c>
      <c r="K37" t="s">
        <v>4695</v>
      </c>
      <c r="S37">
        <v>2035</v>
      </c>
      <c r="V37" s="483"/>
      <c r="Z37" t="s">
        <v>2793</v>
      </c>
      <c r="AA37" t="s">
        <v>3814</v>
      </c>
    </row>
    <row r="38" spans="1:27" x14ac:dyDescent="0.35">
      <c r="A38" s="328" t="s">
        <v>186</v>
      </c>
      <c r="B38" t="s">
        <v>187</v>
      </c>
      <c r="C38" s="327" t="s">
        <v>3147</v>
      </c>
      <c r="D38" s="328" t="str">
        <f t="shared" si="0"/>
        <v>NACE A - 01.62 Support activities for animal production</v>
      </c>
      <c r="E38" s="325" t="s">
        <v>188</v>
      </c>
      <c r="F38" t="s">
        <v>189</v>
      </c>
      <c r="G38" t="str">
        <f t="shared" si="1"/>
        <v>BW</v>
      </c>
      <c r="H38" s="483"/>
      <c r="I38" t="s">
        <v>3526</v>
      </c>
      <c r="K38" t="s">
        <v>4696</v>
      </c>
      <c r="S38">
        <v>2036</v>
      </c>
      <c r="V38" s="483"/>
      <c r="Z38" t="s">
        <v>2794</v>
      </c>
      <c r="AA38" t="s">
        <v>3815</v>
      </c>
    </row>
    <row r="39" spans="1:27" x14ac:dyDescent="0.35">
      <c r="A39" s="328" t="s">
        <v>190</v>
      </c>
      <c r="B39" t="s">
        <v>191</v>
      </c>
      <c r="C39" s="327" t="s">
        <v>3148</v>
      </c>
      <c r="D39" s="328" t="str">
        <f t="shared" si="0"/>
        <v>NACE A - 01.63 Post-harvest crop activities and seed processing for propagation</v>
      </c>
      <c r="E39" s="325" t="s">
        <v>192</v>
      </c>
      <c r="F39" t="s">
        <v>193</v>
      </c>
      <c r="G39" t="str">
        <f t="shared" si="1"/>
        <v>BY</v>
      </c>
      <c r="H39" s="483"/>
      <c r="I39" t="s">
        <v>3514</v>
      </c>
      <c r="K39" t="s">
        <v>4697</v>
      </c>
      <c r="S39">
        <v>2037</v>
      </c>
      <c r="V39" s="483"/>
      <c r="Z39" t="s">
        <v>2795</v>
      </c>
      <c r="AA39" t="s">
        <v>3816</v>
      </c>
    </row>
    <row r="40" spans="1:27" x14ac:dyDescent="0.35">
      <c r="A40" s="327" t="s">
        <v>194</v>
      </c>
      <c r="B40" t="s">
        <v>195</v>
      </c>
      <c r="C40" s="327" t="s">
        <v>3149</v>
      </c>
      <c r="D40" s="327" t="str">
        <f t="shared" si="0"/>
        <v>NACE A - 01.7 Hunting, trapping and related service activities</v>
      </c>
      <c r="E40" s="325" t="s">
        <v>196</v>
      </c>
      <c r="F40" t="s">
        <v>197</v>
      </c>
      <c r="G40" t="str">
        <f t="shared" si="1"/>
        <v>BZ</v>
      </c>
      <c r="H40" s="483"/>
      <c r="I40" t="s">
        <v>3515</v>
      </c>
      <c r="K40" t="s">
        <v>4698</v>
      </c>
      <c r="S40">
        <v>2038</v>
      </c>
      <c r="V40" s="483"/>
      <c r="Z40" t="s">
        <v>2796</v>
      </c>
      <c r="AA40" t="s">
        <v>3817</v>
      </c>
    </row>
    <row r="41" spans="1:27" x14ac:dyDescent="0.35">
      <c r="A41" s="328" t="s">
        <v>198</v>
      </c>
      <c r="B41" t="s">
        <v>199</v>
      </c>
      <c r="C41" s="327" t="s">
        <v>3150</v>
      </c>
      <c r="D41" s="328" t="str">
        <f t="shared" si="0"/>
        <v>NACE A - 01.70 Hunting, trapping and related service activities</v>
      </c>
      <c r="E41" s="325" t="s">
        <v>200</v>
      </c>
      <c r="F41" t="s">
        <v>201</v>
      </c>
      <c r="G41" t="str">
        <f t="shared" si="1"/>
        <v>CA</v>
      </c>
      <c r="H41" s="483"/>
      <c r="I41" t="s">
        <v>2700</v>
      </c>
      <c r="K41" t="s">
        <v>4699</v>
      </c>
      <c r="S41">
        <v>2039</v>
      </c>
      <c r="V41" s="483"/>
      <c r="Z41" t="s">
        <v>2797</v>
      </c>
      <c r="AA41" t="s">
        <v>3818</v>
      </c>
    </row>
    <row r="42" spans="1:27" x14ac:dyDescent="0.35">
      <c r="A42" s="324" t="s">
        <v>202</v>
      </c>
      <c r="B42" t="s">
        <v>203</v>
      </c>
      <c r="C42" s="327" t="s">
        <v>3151</v>
      </c>
      <c r="D42" s="324" t="str">
        <f t="shared" si="0"/>
        <v>NACE A - 02 Forestry and logging</v>
      </c>
      <c r="E42" s="325" t="s">
        <v>204</v>
      </c>
      <c r="F42" t="s">
        <v>205</v>
      </c>
      <c r="G42" t="str">
        <f t="shared" si="1"/>
        <v>CC</v>
      </c>
      <c r="H42" s="483"/>
      <c r="I42" t="s">
        <v>2699</v>
      </c>
      <c r="K42" t="s">
        <v>4700</v>
      </c>
      <c r="S42">
        <v>2040</v>
      </c>
      <c r="V42" s="483"/>
      <c r="Z42" t="s">
        <v>2798</v>
      </c>
      <c r="AA42" t="s">
        <v>3819</v>
      </c>
    </row>
    <row r="43" spans="1:27" x14ac:dyDescent="0.35">
      <c r="A43" s="327" t="s">
        <v>206</v>
      </c>
      <c r="B43" t="s">
        <v>207</v>
      </c>
      <c r="C43" s="327" t="s">
        <v>3152</v>
      </c>
      <c r="D43" s="327" t="str">
        <f t="shared" si="0"/>
        <v>NACE A - 02.1 Silviculture and other forestry activities</v>
      </c>
      <c r="E43" s="325" t="s">
        <v>208</v>
      </c>
      <c r="F43" t="s">
        <v>209</v>
      </c>
      <c r="G43" t="str">
        <f t="shared" si="1"/>
        <v>CD</v>
      </c>
      <c r="H43" s="483"/>
      <c r="I43" t="s">
        <v>2698</v>
      </c>
      <c r="K43" t="s">
        <v>4701</v>
      </c>
      <c r="S43">
        <v>2041</v>
      </c>
      <c r="V43" s="483"/>
      <c r="Z43" t="s">
        <v>2799</v>
      </c>
      <c r="AA43" t="s">
        <v>3820</v>
      </c>
    </row>
    <row r="44" spans="1:27" x14ac:dyDescent="0.35">
      <c r="A44" s="328" t="s">
        <v>210</v>
      </c>
      <c r="B44" t="s">
        <v>211</v>
      </c>
      <c r="C44" s="327" t="s">
        <v>3153</v>
      </c>
      <c r="D44" s="328" t="str">
        <f t="shared" si="0"/>
        <v>NACE A - 02.10 Silviculture and other forestry activities</v>
      </c>
      <c r="E44" s="325" t="s">
        <v>212</v>
      </c>
      <c r="F44" t="s">
        <v>213</v>
      </c>
      <c r="G44" t="str">
        <f t="shared" si="1"/>
        <v>CF</v>
      </c>
      <c r="H44" s="483"/>
      <c r="I44" t="s">
        <v>2697</v>
      </c>
      <c r="K44" t="s">
        <v>4702</v>
      </c>
      <c r="S44">
        <v>2042</v>
      </c>
      <c r="V44" s="483"/>
      <c r="Z44" t="s">
        <v>2738</v>
      </c>
      <c r="AA44" t="s">
        <v>3821</v>
      </c>
    </row>
    <row r="45" spans="1:27" x14ac:dyDescent="0.35">
      <c r="A45" s="327" t="s">
        <v>214</v>
      </c>
      <c r="B45" t="s">
        <v>215</v>
      </c>
      <c r="C45" s="327" t="s">
        <v>3154</v>
      </c>
      <c r="D45" s="327" t="str">
        <f t="shared" si="0"/>
        <v>NACE A - 02.2 Logging</v>
      </c>
      <c r="E45" s="325" t="s">
        <v>216</v>
      </c>
      <c r="F45" t="s">
        <v>217</v>
      </c>
      <c r="G45" t="str">
        <f t="shared" si="1"/>
        <v>CG</v>
      </c>
      <c r="H45" s="483"/>
      <c r="I45" t="s">
        <v>2696</v>
      </c>
      <c r="K45" t="s">
        <v>4703</v>
      </c>
      <c r="S45">
        <v>2043</v>
      </c>
      <c r="V45" s="483"/>
      <c r="Z45" t="s">
        <v>2800</v>
      </c>
      <c r="AA45" t="s">
        <v>3822</v>
      </c>
    </row>
    <row r="46" spans="1:27" x14ac:dyDescent="0.35">
      <c r="A46" s="328" t="s">
        <v>218</v>
      </c>
      <c r="B46" t="s">
        <v>219</v>
      </c>
      <c r="C46" s="324" t="s">
        <v>3155</v>
      </c>
      <c r="D46" s="328" t="str">
        <f t="shared" si="0"/>
        <v>NACE A - 02.20 Logging</v>
      </c>
      <c r="E46" s="325" t="s">
        <v>220</v>
      </c>
      <c r="F46" t="s">
        <v>221</v>
      </c>
      <c r="G46" t="str">
        <f t="shared" si="1"/>
        <v>CH</v>
      </c>
      <c r="H46" s="483"/>
      <c r="I46" t="s">
        <v>3528</v>
      </c>
      <c r="K46" t="s">
        <v>4704</v>
      </c>
      <c r="S46">
        <v>2044</v>
      </c>
      <c r="V46" s="90"/>
      <c r="Z46" t="s">
        <v>2801</v>
      </c>
      <c r="AA46" t="s">
        <v>3823</v>
      </c>
    </row>
    <row r="47" spans="1:27" x14ac:dyDescent="0.35">
      <c r="A47" s="327" t="s">
        <v>222</v>
      </c>
      <c r="B47" t="s">
        <v>223</v>
      </c>
      <c r="C47" s="327" t="s">
        <v>3156</v>
      </c>
      <c r="D47" s="327" t="str">
        <f t="shared" si="0"/>
        <v>NACE A - 02.3 Gathering of wild growing non-wood products</v>
      </c>
      <c r="E47" s="325" t="s">
        <v>224</v>
      </c>
      <c r="F47" t="s">
        <v>225</v>
      </c>
      <c r="G47" t="str">
        <f t="shared" si="1"/>
        <v>CI</v>
      </c>
      <c r="H47" s="90"/>
      <c r="I47" t="s">
        <v>2695</v>
      </c>
      <c r="K47" t="s">
        <v>4705</v>
      </c>
      <c r="S47">
        <v>2045</v>
      </c>
      <c r="V47" s="483"/>
      <c r="Z47" t="s">
        <v>2802</v>
      </c>
      <c r="AA47" t="s">
        <v>3824</v>
      </c>
    </row>
    <row r="48" spans="1:27" x14ac:dyDescent="0.35">
      <c r="A48" s="328" t="s">
        <v>226</v>
      </c>
      <c r="B48" t="s">
        <v>227</v>
      </c>
      <c r="C48" s="324" t="s">
        <v>3157</v>
      </c>
      <c r="D48" s="328" t="str">
        <f t="shared" si="0"/>
        <v>NACE A - 02.30 Gathering of wild growing non-wood products</v>
      </c>
      <c r="E48" s="325" t="s">
        <v>228</v>
      </c>
      <c r="F48" t="s">
        <v>229</v>
      </c>
      <c r="G48" t="str">
        <f t="shared" si="1"/>
        <v>CK</v>
      </c>
      <c r="H48" s="483"/>
      <c r="I48" t="s">
        <v>2694</v>
      </c>
      <c r="K48" t="s">
        <v>4706</v>
      </c>
      <c r="S48">
        <v>2046</v>
      </c>
      <c r="V48" s="482"/>
      <c r="Z48" t="s">
        <v>2803</v>
      </c>
      <c r="AA48" t="s">
        <v>3825</v>
      </c>
    </row>
    <row r="49" spans="1:27" x14ac:dyDescent="0.35">
      <c r="A49" s="327" t="s">
        <v>230</v>
      </c>
      <c r="B49" t="s">
        <v>231</v>
      </c>
      <c r="C49" s="327" t="s">
        <v>3158</v>
      </c>
      <c r="D49" s="327" t="str">
        <f t="shared" si="0"/>
        <v>NACE A - 02.4 Support services to forestry</v>
      </c>
      <c r="E49" s="325" t="s">
        <v>232</v>
      </c>
      <c r="F49" t="s">
        <v>233</v>
      </c>
      <c r="G49" t="str">
        <f t="shared" si="1"/>
        <v>CL</v>
      </c>
      <c r="H49" s="482"/>
      <c r="I49" t="s">
        <v>2693</v>
      </c>
      <c r="K49" t="s">
        <v>4707</v>
      </c>
      <c r="S49">
        <v>2047</v>
      </c>
      <c r="V49" s="483"/>
      <c r="Z49" t="s">
        <v>2804</v>
      </c>
      <c r="AA49" t="s">
        <v>3826</v>
      </c>
    </row>
    <row r="50" spans="1:27" x14ac:dyDescent="0.35">
      <c r="A50" s="328" t="s">
        <v>234</v>
      </c>
      <c r="B50" t="s">
        <v>235</v>
      </c>
      <c r="C50" s="324" t="s">
        <v>3159</v>
      </c>
      <c r="D50" s="328" t="str">
        <f t="shared" si="0"/>
        <v>NACE A - 02.40 Support services to forestry</v>
      </c>
      <c r="E50" s="325" t="s">
        <v>236</v>
      </c>
      <c r="F50" t="s">
        <v>237</v>
      </c>
      <c r="G50" t="str">
        <f t="shared" si="1"/>
        <v>CM</v>
      </c>
      <c r="H50" s="483"/>
      <c r="I50" t="s">
        <v>2692</v>
      </c>
      <c r="K50" t="s">
        <v>4708</v>
      </c>
      <c r="S50">
        <v>2048</v>
      </c>
      <c r="V50" s="483"/>
      <c r="Z50" t="s">
        <v>2805</v>
      </c>
      <c r="AA50" t="s">
        <v>3827</v>
      </c>
    </row>
    <row r="51" spans="1:27" x14ac:dyDescent="0.35">
      <c r="A51" s="324" t="s">
        <v>238</v>
      </c>
      <c r="B51" t="s">
        <v>239</v>
      </c>
      <c r="C51" s="327" t="s">
        <v>3160</v>
      </c>
      <c r="D51" s="324" t="str">
        <f t="shared" si="0"/>
        <v>NACE A - 03 Fishing and aquaculture</v>
      </c>
      <c r="E51" s="325" t="s">
        <v>240</v>
      </c>
      <c r="F51" t="s">
        <v>241</v>
      </c>
      <c r="G51" t="str">
        <f t="shared" si="1"/>
        <v>CN</v>
      </c>
      <c r="H51" s="483"/>
      <c r="I51" t="s">
        <v>2691</v>
      </c>
      <c r="K51" t="s">
        <v>4709</v>
      </c>
      <c r="S51">
        <v>2049</v>
      </c>
      <c r="V51" s="483"/>
      <c r="Z51" t="s">
        <v>2806</v>
      </c>
      <c r="AA51" t="s">
        <v>3828</v>
      </c>
    </row>
    <row r="52" spans="1:27" x14ac:dyDescent="0.35">
      <c r="A52" s="327" t="s">
        <v>242</v>
      </c>
      <c r="B52" t="s">
        <v>243</v>
      </c>
      <c r="C52" s="327" t="s">
        <v>3161</v>
      </c>
      <c r="D52" s="327" t="str">
        <f t="shared" si="0"/>
        <v>NACE A - 03.1 Fishing</v>
      </c>
      <c r="E52" s="325" t="s">
        <v>244</v>
      </c>
      <c r="F52" t="s">
        <v>245</v>
      </c>
      <c r="G52" t="str">
        <f t="shared" si="1"/>
        <v>CO</v>
      </c>
      <c r="H52" s="483"/>
      <c r="I52" t="s">
        <v>3516</v>
      </c>
      <c r="K52" t="s">
        <v>4710</v>
      </c>
      <c r="S52">
        <v>2050</v>
      </c>
      <c r="V52" s="90"/>
      <c r="Z52" t="s">
        <v>2739</v>
      </c>
      <c r="AA52" t="s">
        <v>3829</v>
      </c>
    </row>
    <row r="53" spans="1:27" x14ac:dyDescent="0.35">
      <c r="A53" s="328" t="s">
        <v>246</v>
      </c>
      <c r="B53" t="s">
        <v>247</v>
      </c>
      <c r="C53" s="327" t="s">
        <v>3162</v>
      </c>
      <c r="D53" s="328" t="str">
        <f t="shared" si="0"/>
        <v>NACE A - 03.11 Marine fishing</v>
      </c>
      <c r="E53" s="325" t="s">
        <v>248</v>
      </c>
      <c r="F53" t="s">
        <v>249</v>
      </c>
      <c r="G53" t="str">
        <f t="shared" si="1"/>
        <v>CR</v>
      </c>
      <c r="H53" s="90"/>
      <c r="I53" t="s">
        <v>2690</v>
      </c>
      <c r="K53" t="s">
        <v>4711</v>
      </c>
      <c r="S53">
        <v>2051</v>
      </c>
      <c r="V53" s="483"/>
      <c r="Z53" t="s">
        <v>2807</v>
      </c>
      <c r="AA53" t="s">
        <v>3830</v>
      </c>
    </row>
    <row r="54" spans="1:27" x14ac:dyDescent="0.35">
      <c r="A54" s="328" t="s">
        <v>250</v>
      </c>
      <c r="B54" t="s">
        <v>251</v>
      </c>
      <c r="C54" s="327" t="s">
        <v>3163</v>
      </c>
      <c r="D54" s="328" t="str">
        <f t="shared" si="0"/>
        <v>NACE A - 03.12 Freshwater fishing</v>
      </c>
      <c r="E54" s="325" t="s">
        <v>252</v>
      </c>
      <c r="F54" t="s">
        <v>253</v>
      </c>
      <c r="G54" t="str">
        <f t="shared" si="1"/>
        <v>CS</v>
      </c>
      <c r="H54" s="483"/>
      <c r="I54" t="s">
        <v>3517</v>
      </c>
      <c r="K54" t="s">
        <v>4712</v>
      </c>
      <c r="S54">
        <v>2052</v>
      </c>
      <c r="V54" s="483"/>
      <c r="Z54" t="s">
        <v>2808</v>
      </c>
      <c r="AA54" t="s">
        <v>3831</v>
      </c>
    </row>
    <row r="55" spans="1:27" x14ac:dyDescent="0.35">
      <c r="A55" s="327" t="s">
        <v>254</v>
      </c>
      <c r="B55" t="s">
        <v>255</v>
      </c>
      <c r="C55" s="324" t="s">
        <v>3164</v>
      </c>
      <c r="D55" s="327" t="str">
        <f t="shared" si="0"/>
        <v>NACE A - 03.2 Aquaculture</v>
      </c>
      <c r="E55" s="325" t="s">
        <v>256</v>
      </c>
      <c r="F55" t="s">
        <v>257</v>
      </c>
      <c r="G55" t="str">
        <f t="shared" si="1"/>
        <v>CU</v>
      </c>
      <c r="H55" s="483"/>
      <c r="I55" t="s">
        <v>2689</v>
      </c>
      <c r="K55" t="s">
        <v>4713</v>
      </c>
      <c r="S55">
        <v>2053</v>
      </c>
      <c r="V55" s="483"/>
      <c r="Z55" t="s">
        <v>2809</v>
      </c>
      <c r="AA55" t="s">
        <v>3832</v>
      </c>
    </row>
    <row r="56" spans="1:27" x14ac:dyDescent="0.35">
      <c r="A56" s="328" t="s">
        <v>258</v>
      </c>
      <c r="B56" t="s">
        <v>259</v>
      </c>
      <c r="C56" s="327" t="s">
        <v>3165</v>
      </c>
      <c r="D56" s="328" t="str">
        <f t="shared" si="0"/>
        <v>NACE A - 03.21 Marine aquaculture</v>
      </c>
      <c r="E56" s="325" t="s">
        <v>260</v>
      </c>
      <c r="F56" t="s">
        <v>261</v>
      </c>
      <c r="G56" t="str">
        <f t="shared" si="1"/>
        <v>CV</v>
      </c>
      <c r="H56" s="483"/>
      <c r="I56" t="s">
        <v>2688</v>
      </c>
      <c r="K56" t="s">
        <v>4714</v>
      </c>
      <c r="S56">
        <v>2054</v>
      </c>
      <c r="V56" s="483"/>
      <c r="Z56" t="s">
        <v>2810</v>
      </c>
      <c r="AA56" t="s">
        <v>3833</v>
      </c>
    </row>
    <row r="57" spans="1:27" x14ac:dyDescent="0.35">
      <c r="A57" s="328" t="s">
        <v>262</v>
      </c>
      <c r="B57" t="s">
        <v>263</v>
      </c>
      <c r="C57" s="327" t="s">
        <v>3166</v>
      </c>
      <c r="D57" s="328" t="str">
        <f t="shared" si="0"/>
        <v>NACE A - 03.22 Freshwater aquaculture</v>
      </c>
      <c r="E57" s="325" t="s">
        <v>264</v>
      </c>
      <c r="F57" t="s">
        <v>265</v>
      </c>
      <c r="G57" t="str">
        <f t="shared" si="1"/>
        <v>CW</v>
      </c>
      <c r="H57" s="483"/>
      <c r="I57" t="s">
        <v>2687</v>
      </c>
      <c r="K57" t="s">
        <v>4715</v>
      </c>
      <c r="S57">
        <v>2055</v>
      </c>
      <c r="V57" s="483"/>
      <c r="Z57" t="s">
        <v>2811</v>
      </c>
      <c r="AA57" t="s">
        <v>3834</v>
      </c>
    </row>
    <row r="58" spans="1:27" x14ac:dyDescent="0.35">
      <c r="A58" s="327" t="s">
        <v>266</v>
      </c>
      <c r="B58" t="s">
        <v>267</v>
      </c>
      <c r="C58" s="324" t="s">
        <v>3167</v>
      </c>
      <c r="D58" s="327" t="str">
        <f t="shared" si="0"/>
        <v>NACE A - 03.3 Support activities for fishing and aquaculture</v>
      </c>
      <c r="E58" s="325" t="s">
        <v>268</v>
      </c>
      <c r="F58" t="s">
        <v>269</v>
      </c>
      <c r="G58" t="str">
        <f t="shared" si="1"/>
        <v>CX</v>
      </c>
      <c r="H58" s="483"/>
      <c r="I58" t="s">
        <v>3518</v>
      </c>
      <c r="K58" t="s">
        <v>4716</v>
      </c>
      <c r="S58">
        <v>2056</v>
      </c>
      <c r="V58" s="483"/>
      <c r="Z58" t="s">
        <v>2740</v>
      </c>
      <c r="AA58" t="s">
        <v>3835</v>
      </c>
    </row>
    <row r="59" spans="1:27" x14ac:dyDescent="0.35">
      <c r="A59" s="328" t="s">
        <v>270</v>
      </c>
      <c r="B59" t="s">
        <v>271</v>
      </c>
      <c r="C59" s="327" t="s">
        <v>3168</v>
      </c>
      <c r="D59" s="328" t="str">
        <f t="shared" si="0"/>
        <v>NACE A - 03.30 Support activities for fishing and aquaculture</v>
      </c>
      <c r="E59" s="325" t="s">
        <v>272</v>
      </c>
      <c r="F59" t="s">
        <v>273</v>
      </c>
      <c r="G59" t="str">
        <f t="shared" si="1"/>
        <v>CY</v>
      </c>
      <c r="H59" s="483"/>
      <c r="I59" t="s">
        <v>2686</v>
      </c>
      <c r="K59" t="s">
        <v>4717</v>
      </c>
      <c r="S59">
        <v>2057</v>
      </c>
      <c r="V59" s="483"/>
      <c r="Z59" t="s">
        <v>2812</v>
      </c>
      <c r="AA59" t="s">
        <v>3836</v>
      </c>
    </row>
    <row r="60" spans="1:27" x14ac:dyDescent="0.35">
      <c r="A60" s="325" t="s">
        <v>274</v>
      </c>
      <c r="B60" t="s">
        <v>275</v>
      </c>
      <c r="C60" s="327" t="s">
        <v>3169</v>
      </c>
      <c r="D60" s="325" t="str">
        <f t="shared" si="0"/>
        <v>NACE B - MINING AND QUARRYING</v>
      </c>
      <c r="E60" s="325" t="s">
        <v>276</v>
      </c>
      <c r="F60" t="s">
        <v>277</v>
      </c>
      <c r="G60" t="str">
        <f t="shared" si="1"/>
        <v>CZ</v>
      </c>
      <c r="H60" s="483"/>
      <c r="I60" t="s">
        <v>2685</v>
      </c>
      <c r="K60" t="s">
        <v>4718</v>
      </c>
      <c r="S60">
        <v>2058</v>
      </c>
      <c r="V60" s="90"/>
      <c r="Z60" t="s">
        <v>2741</v>
      </c>
      <c r="AA60" t="s">
        <v>3837</v>
      </c>
    </row>
    <row r="61" spans="1:27" x14ac:dyDescent="0.35">
      <c r="A61" s="324" t="s">
        <v>278</v>
      </c>
      <c r="B61" t="s">
        <v>279</v>
      </c>
      <c r="C61" s="328" t="s">
        <v>3170</v>
      </c>
      <c r="D61" s="324" t="str">
        <f t="shared" si="0"/>
        <v>NACE B - 04 Mining of coal and lignite</v>
      </c>
      <c r="E61" s="325" t="s">
        <v>280</v>
      </c>
      <c r="F61" t="s">
        <v>281</v>
      </c>
      <c r="G61" t="str">
        <f t="shared" si="1"/>
        <v>DE</v>
      </c>
      <c r="H61" s="90"/>
      <c r="I61" t="s">
        <v>2684</v>
      </c>
      <c r="K61" t="s">
        <v>4719</v>
      </c>
      <c r="S61">
        <v>2059</v>
      </c>
      <c r="V61" s="483"/>
      <c r="Z61" t="s">
        <v>2813</v>
      </c>
      <c r="AA61" t="s">
        <v>3838</v>
      </c>
    </row>
    <row r="62" spans="1:27" x14ac:dyDescent="0.35">
      <c r="A62" s="327" t="s">
        <v>282</v>
      </c>
      <c r="B62" t="s">
        <v>283</v>
      </c>
      <c r="C62" s="324" t="s">
        <v>3171</v>
      </c>
      <c r="D62" s="327" t="str">
        <f t="shared" si="0"/>
        <v>NACE B - 05.1 Mining of hard coal</v>
      </c>
      <c r="E62" s="325" t="s">
        <v>284</v>
      </c>
      <c r="F62" t="s">
        <v>285</v>
      </c>
      <c r="G62" t="str">
        <f t="shared" si="1"/>
        <v>DJ</v>
      </c>
      <c r="H62" s="483"/>
      <c r="I62" t="s">
        <v>2683</v>
      </c>
      <c r="K62" t="s">
        <v>4720</v>
      </c>
      <c r="S62">
        <v>2060</v>
      </c>
      <c r="V62" s="483"/>
      <c r="Z62" t="s">
        <v>2814</v>
      </c>
      <c r="AA62" t="s">
        <v>3839</v>
      </c>
    </row>
    <row r="63" spans="1:27" x14ac:dyDescent="0.35">
      <c r="A63" s="328" t="s">
        <v>286</v>
      </c>
      <c r="B63" t="s">
        <v>287</v>
      </c>
      <c r="C63" s="327" t="s">
        <v>3172</v>
      </c>
      <c r="D63" s="328" t="str">
        <f t="shared" si="0"/>
        <v>NACE B - 05.10 Mining of hard coal</v>
      </c>
      <c r="E63" s="325" t="s">
        <v>288</v>
      </c>
      <c r="F63" t="s">
        <v>289</v>
      </c>
      <c r="G63" t="str">
        <f t="shared" si="1"/>
        <v>DK</v>
      </c>
      <c r="H63" s="483"/>
      <c r="I63" t="s">
        <v>2682</v>
      </c>
      <c r="K63" t="s">
        <v>4721</v>
      </c>
      <c r="S63">
        <v>2061</v>
      </c>
      <c r="V63" s="483"/>
      <c r="Z63" t="s">
        <v>2815</v>
      </c>
      <c r="AA63" t="s">
        <v>3840</v>
      </c>
    </row>
    <row r="64" spans="1:27" x14ac:dyDescent="0.35">
      <c r="A64" s="327" t="s">
        <v>290</v>
      </c>
      <c r="B64" t="s">
        <v>291</v>
      </c>
      <c r="C64" s="327" t="s">
        <v>3173</v>
      </c>
      <c r="D64" s="327" t="str">
        <f t="shared" si="0"/>
        <v>NACE B - 05.2 Mining of lignite</v>
      </c>
      <c r="E64" s="325" t="s">
        <v>292</v>
      </c>
      <c r="F64" t="s">
        <v>293</v>
      </c>
      <c r="G64" t="str">
        <f t="shared" si="1"/>
        <v>DM</v>
      </c>
      <c r="H64" s="483"/>
      <c r="I64" t="s">
        <v>3519</v>
      </c>
      <c r="K64" t="s">
        <v>4722</v>
      </c>
      <c r="S64">
        <v>2062</v>
      </c>
      <c r="V64" s="483"/>
      <c r="Z64" t="s">
        <v>2816</v>
      </c>
      <c r="AA64" t="s">
        <v>3841</v>
      </c>
    </row>
    <row r="65" spans="1:27" x14ac:dyDescent="0.35">
      <c r="A65" s="328" t="s">
        <v>294</v>
      </c>
      <c r="B65" t="s">
        <v>295</v>
      </c>
      <c r="C65" s="324" t="s">
        <v>3174</v>
      </c>
      <c r="D65" s="328" t="str">
        <f t="shared" si="0"/>
        <v>NACE B - 05.20 Mining of lignite</v>
      </c>
      <c r="E65" s="325" t="s">
        <v>296</v>
      </c>
      <c r="F65" t="s">
        <v>297</v>
      </c>
      <c r="G65" t="str">
        <f t="shared" si="1"/>
        <v>DO</v>
      </c>
      <c r="H65" s="483"/>
      <c r="I65" t="s">
        <v>3068</v>
      </c>
      <c r="K65" t="s">
        <v>4723</v>
      </c>
      <c r="S65">
        <v>2063</v>
      </c>
      <c r="V65" s="90"/>
      <c r="Z65" t="s">
        <v>2817</v>
      </c>
      <c r="AA65" t="s">
        <v>3842</v>
      </c>
    </row>
    <row r="66" spans="1:27" x14ac:dyDescent="0.35">
      <c r="A66" s="324" t="s">
        <v>298</v>
      </c>
      <c r="B66" t="s">
        <v>299</v>
      </c>
      <c r="C66" s="327" t="s">
        <v>3175</v>
      </c>
      <c r="D66" s="324" t="str">
        <f t="shared" ref="D66:D129" si="2">_xlfn.CONCAT("NACE ", A66)</f>
        <v>NACE B - 05 Extraction of crude petroleum and natural gas</v>
      </c>
      <c r="E66" s="325" t="s">
        <v>300</v>
      </c>
      <c r="F66" t="s">
        <v>301</v>
      </c>
      <c r="G66" t="str">
        <f t="shared" si="1"/>
        <v>DZ</v>
      </c>
      <c r="H66" s="90"/>
      <c r="I66" t="s">
        <v>3520</v>
      </c>
      <c r="K66" t="s">
        <v>4724</v>
      </c>
      <c r="S66">
        <v>2064</v>
      </c>
      <c r="V66" s="483"/>
      <c r="Z66" t="s">
        <v>2818</v>
      </c>
      <c r="AA66" t="s">
        <v>3843</v>
      </c>
    </row>
    <row r="67" spans="1:27" x14ac:dyDescent="0.35">
      <c r="A67" s="327" t="s">
        <v>302</v>
      </c>
      <c r="B67" t="s">
        <v>303</v>
      </c>
      <c r="C67" s="327" t="s">
        <v>3176</v>
      </c>
      <c r="D67" s="327" t="str">
        <f t="shared" si="2"/>
        <v>NACE B - 06.1 Extraction of crude petroleum</v>
      </c>
      <c r="E67" s="325" t="s">
        <v>304</v>
      </c>
      <c r="F67" t="s">
        <v>305</v>
      </c>
      <c r="G67" t="str">
        <f t="shared" ref="G67:G130" si="3">RIGHT(F67,2)</f>
        <v>EC</v>
      </c>
      <c r="H67" s="483"/>
      <c r="I67" t="s">
        <v>2681</v>
      </c>
      <c r="K67" t="s">
        <v>4725</v>
      </c>
      <c r="S67">
        <v>2065</v>
      </c>
      <c r="V67" s="483"/>
      <c r="Z67" t="s">
        <v>2819</v>
      </c>
      <c r="AA67" t="s">
        <v>3844</v>
      </c>
    </row>
    <row r="68" spans="1:27" x14ac:dyDescent="0.35">
      <c r="A68" s="328" t="s">
        <v>306</v>
      </c>
      <c r="B68" t="s">
        <v>307</v>
      </c>
      <c r="C68" s="324" t="s">
        <v>3177</v>
      </c>
      <c r="D68" s="328" t="str">
        <f t="shared" si="2"/>
        <v>NACE B - 06.10 Extraction of crude petroleum</v>
      </c>
      <c r="E68" s="325" t="s">
        <v>308</v>
      </c>
      <c r="F68" t="s">
        <v>309</v>
      </c>
      <c r="G68" t="str">
        <f t="shared" si="3"/>
        <v>EE</v>
      </c>
      <c r="H68" s="483"/>
      <c r="I68" t="s">
        <v>2680</v>
      </c>
      <c r="K68" t="s">
        <v>4726</v>
      </c>
      <c r="S68">
        <v>2066</v>
      </c>
      <c r="V68" s="482"/>
      <c r="Z68" t="s">
        <v>2820</v>
      </c>
      <c r="AA68" t="s">
        <v>3845</v>
      </c>
    </row>
    <row r="69" spans="1:27" x14ac:dyDescent="0.35">
      <c r="A69" s="327" t="s">
        <v>310</v>
      </c>
      <c r="B69" t="s">
        <v>311</v>
      </c>
      <c r="C69" s="327" t="s">
        <v>3178</v>
      </c>
      <c r="D69" s="327" t="str">
        <f t="shared" si="2"/>
        <v>NACE B - 06.2 Extraction of natural gas</v>
      </c>
      <c r="E69" s="325" t="s">
        <v>312</v>
      </c>
      <c r="F69" t="s">
        <v>313</v>
      </c>
      <c r="G69" t="str">
        <f t="shared" si="3"/>
        <v>EG</v>
      </c>
      <c r="H69" s="482"/>
      <c r="I69" t="s">
        <v>2679</v>
      </c>
      <c r="K69" t="s">
        <v>4727</v>
      </c>
      <c r="S69">
        <v>2067</v>
      </c>
      <c r="V69" s="482"/>
      <c r="Z69" t="s">
        <v>2821</v>
      </c>
      <c r="AA69" t="s">
        <v>3846</v>
      </c>
    </row>
    <row r="70" spans="1:27" x14ac:dyDescent="0.35">
      <c r="A70" s="328" t="s">
        <v>314</v>
      </c>
      <c r="B70" t="s">
        <v>315</v>
      </c>
      <c r="C70" s="327" t="s">
        <v>3179</v>
      </c>
      <c r="D70" s="328" t="str">
        <f t="shared" si="2"/>
        <v>NACE B - 06.20 Extraction of natural gas</v>
      </c>
      <c r="E70" s="325" t="s">
        <v>316</v>
      </c>
      <c r="F70" t="s">
        <v>317</v>
      </c>
      <c r="G70" t="str">
        <f t="shared" si="3"/>
        <v>EH</v>
      </c>
      <c r="H70" s="482"/>
      <c r="I70" t="s">
        <v>2678</v>
      </c>
      <c r="K70" t="s">
        <v>4728</v>
      </c>
      <c r="S70">
        <v>2068</v>
      </c>
      <c r="V70" s="482"/>
      <c r="Z70" t="s">
        <v>2822</v>
      </c>
      <c r="AA70" t="s">
        <v>3847</v>
      </c>
    </row>
    <row r="71" spans="1:27" x14ac:dyDescent="0.35">
      <c r="A71" s="324" t="s">
        <v>318</v>
      </c>
      <c r="B71" t="s">
        <v>319</v>
      </c>
      <c r="C71" s="324" t="s">
        <v>3180</v>
      </c>
      <c r="D71" s="324" t="str">
        <f t="shared" si="2"/>
        <v>NACE B - 06 Mining of metal ores</v>
      </c>
      <c r="E71" s="325" t="s">
        <v>320</v>
      </c>
      <c r="F71" t="s">
        <v>321</v>
      </c>
      <c r="G71" t="str">
        <f t="shared" si="3"/>
        <v>ER</v>
      </c>
      <c r="H71" s="482"/>
      <c r="I71" t="s">
        <v>2677</v>
      </c>
      <c r="K71" t="s">
        <v>4729</v>
      </c>
      <c r="S71">
        <v>2069</v>
      </c>
      <c r="V71" s="482"/>
      <c r="Z71" t="s">
        <v>2823</v>
      </c>
      <c r="AA71" t="s">
        <v>3848</v>
      </c>
    </row>
    <row r="72" spans="1:27" x14ac:dyDescent="0.35">
      <c r="A72" s="327" t="s">
        <v>322</v>
      </c>
      <c r="B72" t="s">
        <v>323</v>
      </c>
      <c r="C72" s="327" t="s">
        <v>3181</v>
      </c>
      <c r="D72" s="327" t="str">
        <f t="shared" si="2"/>
        <v>NACE B - 07.1 Mining of iron ores</v>
      </c>
      <c r="E72" s="325" t="s">
        <v>324</v>
      </c>
      <c r="F72" t="s">
        <v>325</v>
      </c>
      <c r="G72" t="str">
        <f t="shared" si="3"/>
        <v>ES</v>
      </c>
      <c r="H72" s="482"/>
      <c r="I72" t="s">
        <v>3521</v>
      </c>
      <c r="K72" t="s">
        <v>4730</v>
      </c>
      <c r="S72">
        <v>2070</v>
      </c>
      <c r="V72" s="482"/>
      <c r="Z72" t="s">
        <v>2824</v>
      </c>
      <c r="AA72" t="s">
        <v>3849</v>
      </c>
    </row>
    <row r="73" spans="1:27" x14ac:dyDescent="0.35">
      <c r="A73" s="328" t="s">
        <v>326</v>
      </c>
      <c r="B73" t="s">
        <v>327</v>
      </c>
      <c r="C73" s="327" t="s">
        <v>3182</v>
      </c>
      <c r="D73" s="328" t="str">
        <f t="shared" si="2"/>
        <v>NACE B - 07.10 Mining of iron ores</v>
      </c>
      <c r="E73" s="325" t="s">
        <v>328</v>
      </c>
      <c r="F73" t="s">
        <v>329</v>
      </c>
      <c r="G73" t="str">
        <f t="shared" si="3"/>
        <v>ET</v>
      </c>
      <c r="H73" s="482"/>
      <c r="I73" t="s">
        <v>2676</v>
      </c>
      <c r="K73" t="s">
        <v>4731</v>
      </c>
      <c r="S73">
        <v>2071</v>
      </c>
      <c r="V73" s="482"/>
      <c r="Z73" t="s">
        <v>2825</v>
      </c>
      <c r="AA73" t="s">
        <v>3850</v>
      </c>
    </row>
    <row r="74" spans="1:27" x14ac:dyDescent="0.35">
      <c r="A74" s="327" t="s">
        <v>330</v>
      </c>
      <c r="B74" t="s">
        <v>331</v>
      </c>
      <c r="C74" s="324" t="s">
        <v>3183</v>
      </c>
      <c r="D74" s="327" t="str">
        <f t="shared" si="2"/>
        <v>NACE B - 07.2 Mining of non-ferrous metal ores</v>
      </c>
      <c r="E74" s="325" t="s">
        <v>332</v>
      </c>
      <c r="F74" t="s">
        <v>333</v>
      </c>
      <c r="G74" t="str">
        <f t="shared" si="3"/>
        <v>FI</v>
      </c>
      <c r="H74" s="482"/>
      <c r="I74" t="s">
        <v>2675</v>
      </c>
      <c r="K74" t="s">
        <v>4732</v>
      </c>
      <c r="S74">
        <v>2072</v>
      </c>
      <c r="V74" s="483"/>
      <c r="Z74" t="s">
        <v>2742</v>
      </c>
      <c r="AA74" t="s">
        <v>3851</v>
      </c>
    </row>
    <row r="75" spans="1:27" x14ac:dyDescent="0.35">
      <c r="A75" s="328" t="s">
        <v>334</v>
      </c>
      <c r="B75" t="s">
        <v>335</v>
      </c>
      <c r="C75" s="327" t="s">
        <v>3184</v>
      </c>
      <c r="D75" s="328" t="str">
        <f t="shared" si="2"/>
        <v>NACE B - 07.21 Mining of uranium and thorium ores</v>
      </c>
      <c r="E75" s="325" t="s">
        <v>336</v>
      </c>
      <c r="F75" t="s">
        <v>337</v>
      </c>
      <c r="G75" t="str">
        <f t="shared" si="3"/>
        <v>FJ</v>
      </c>
      <c r="H75" s="483"/>
      <c r="I75" t="s">
        <v>2674</v>
      </c>
      <c r="K75" t="s">
        <v>4733</v>
      </c>
      <c r="S75">
        <v>2073</v>
      </c>
      <c r="V75" s="483"/>
      <c r="Z75" t="s">
        <v>2826</v>
      </c>
      <c r="AA75" t="s">
        <v>3852</v>
      </c>
    </row>
    <row r="76" spans="1:27" x14ac:dyDescent="0.35">
      <c r="A76" s="328" t="s">
        <v>338</v>
      </c>
      <c r="B76" t="s">
        <v>339</v>
      </c>
      <c r="C76" s="327" t="s">
        <v>3185</v>
      </c>
      <c r="D76" s="328" t="str">
        <f t="shared" si="2"/>
        <v>NACE B - 07.29 Mining of other non-ferrous metal ores</v>
      </c>
      <c r="E76" s="325" t="s">
        <v>340</v>
      </c>
      <c r="F76" t="s">
        <v>341</v>
      </c>
      <c r="G76" t="str">
        <f t="shared" si="3"/>
        <v>FK</v>
      </c>
      <c r="H76" s="483"/>
      <c r="I76" t="s">
        <v>2673</v>
      </c>
      <c r="K76" t="s">
        <v>4734</v>
      </c>
      <c r="S76">
        <v>2074</v>
      </c>
      <c r="V76" s="483"/>
      <c r="Z76" t="s">
        <v>2827</v>
      </c>
      <c r="AA76" t="s">
        <v>3853</v>
      </c>
    </row>
    <row r="77" spans="1:27" x14ac:dyDescent="0.35">
      <c r="A77" s="324" t="s">
        <v>342</v>
      </c>
      <c r="B77" t="s">
        <v>343</v>
      </c>
      <c r="C77" s="327" t="s">
        <v>3186</v>
      </c>
      <c r="D77" s="324" t="str">
        <f t="shared" si="2"/>
        <v>NACE B - 07 Other mining and quarrying</v>
      </c>
      <c r="E77" s="325" t="s">
        <v>344</v>
      </c>
      <c r="F77" t="s">
        <v>345</v>
      </c>
      <c r="G77" t="str">
        <f t="shared" si="3"/>
        <v>FM</v>
      </c>
      <c r="H77" s="483"/>
      <c r="I77" t="s">
        <v>2672</v>
      </c>
      <c r="K77" t="s">
        <v>4643</v>
      </c>
      <c r="S77">
        <v>2075</v>
      </c>
      <c r="V77" s="483"/>
      <c r="Z77" t="s">
        <v>2828</v>
      </c>
      <c r="AA77" t="s">
        <v>3854</v>
      </c>
    </row>
    <row r="78" spans="1:27" x14ac:dyDescent="0.35">
      <c r="A78" s="327" t="s">
        <v>346</v>
      </c>
      <c r="B78" t="s">
        <v>347</v>
      </c>
      <c r="C78" s="327" t="s">
        <v>3187</v>
      </c>
      <c r="D78" s="327" t="str">
        <f t="shared" si="2"/>
        <v>NACE B - 08.1 Quarrying of stone, sand and clay</v>
      </c>
      <c r="E78" s="325" t="s">
        <v>348</v>
      </c>
      <c r="F78" t="s">
        <v>349</v>
      </c>
      <c r="G78" t="str">
        <f t="shared" si="3"/>
        <v>FO</v>
      </c>
      <c r="H78" s="483"/>
      <c r="I78" t="s">
        <v>2671</v>
      </c>
      <c r="K78" t="s">
        <v>4735</v>
      </c>
      <c r="S78">
        <v>2076</v>
      </c>
      <c r="V78" s="483"/>
      <c r="Z78" t="s">
        <v>2829</v>
      </c>
      <c r="AA78" t="s">
        <v>3855</v>
      </c>
    </row>
    <row r="79" spans="1:27" x14ac:dyDescent="0.35">
      <c r="A79" s="328" t="s">
        <v>350</v>
      </c>
      <c r="B79" t="s">
        <v>351</v>
      </c>
      <c r="C79" s="327" t="s">
        <v>3188</v>
      </c>
      <c r="D79" s="328" t="str">
        <f t="shared" si="2"/>
        <v>NACE B - 08.11 Quarrying of ornamental stone, limestone, gypsum, slate and other stone</v>
      </c>
      <c r="E79" s="325" t="s">
        <v>352</v>
      </c>
      <c r="F79" t="s">
        <v>353</v>
      </c>
      <c r="G79" t="str">
        <f t="shared" si="3"/>
        <v>FR</v>
      </c>
      <c r="H79" s="483"/>
      <c r="I79" t="s">
        <v>2670</v>
      </c>
      <c r="K79" t="s">
        <v>4736</v>
      </c>
      <c r="S79">
        <v>2077</v>
      </c>
      <c r="V79" s="483"/>
      <c r="Z79" t="s">
        <v>2743</v>
      </c>
      <c r="AA79" t="s">
        <v>3856</v>
      </c>
    </row>
    <row r="80" spans="1:27" x14ac:dyDescent="0.35">
      <c r="A80" s="328" t="s">
        <v>354</v>
      </c>
      <c r="B80" t="s">
        <v>355</v>
      </c>
      <c r="C80" s="327" t="s">
        <v>3189</v>
      </c>
      <c r="D80" s="328" t="str">
        <f t="shared" si="2"/>
        <v>NACE B - 08.12 Operation of gravel and sand pits and mining of clay and kaolin</v>
      </c>
      <c r="E80" s="325" t="s">
        <v>356</v>
      </c>
      <c r="F80" t="s">
        <v>357</v>
      </c>
      <c r="G80" t="str">
        <f t="shared" si="3"/>
        <v>GA</v>
      </c>
      <c r="H80" s="483"/>
      <c r="I80" t="s">
        <v>3529</v>
      </c>
      <c r="K80" t="s">
        <v>4737</v>
      </c>
      <c r="S80">
        <v>2078</v>
      </c>
      <c r="V80" s="482"/>
      <c r="Z80" t="s">
        <v>2830</v>
      </c>
      <c r="AA80" t="s">
        <v>3857</v>
      </c>
    </row>
    <row r="81" spans="1:27" x14ac:dyDescent="0.35">
      <c r="A81" s="327" t="s">
        <v>358</v>
      </c>
      <c r="B81" t="s">
        <v>359</v>
      </c>
      <c r="C81" s="324" t="s">
        <v>3190</v>
      </c>
      <c r="D81" s="327" t="str">
        <f t="shared" si="2"/>
        <v>NACE B - 08.9 Mining and quarrying n.e.c.</v>
      </c>
      <c r="E81" s="325" t="s">
        <v>360</v>
      </c>
      <c r="F81" t="s">
        <v>361</v>
      </c>
      <c r="G81" t="str">
        <f t="shared" si="3"/>
        <v>GB</v>
      </c>
      <c r="H81" s="482"/>
      <c r="I81" t="s">
        <v>2669</v>
      </c>
      <c r="K81" t="s">
        <v>4738</v>
      </c>
      <c r="S81">
        <v>2079</v>
      </c>
      <c r="V81" s="482"/>
      <c r="Z81" t="s">
        <v>2831</v>
      </c>
      <c r="AA81" t="s">
        <v>3858</v>
      </c>
    </row>
    <row r="82" spans="1:27" x14ac:dyDescent="0.35">
      <c r="A82" s="328" t="s">
        <v>362</v>
      </c>
      <c r="B82" t="s">
        <v>363</v>
      </c>
      <c r="C82" s="327" t="s">
        <v>3191</v>
      </c>
      <c r="D82" s="328" t="str">
        <f t="shared" si="2"/>
        <v>NACE B - 08.91 Mining of chemical and fertiliser minerals</v>
      </c>
      <c r="E82" s="325" t="s">
        <v>364</v>
      </c>
      <c r="F82" t="s">
        <v>365</v>
      </c>
      <c r="G82" t="str">
        <f t="shared" si="3"/>
        <v>GD</v>
      </c>
      <c r="H82" s="482"/>
      <c r="I82" t="s">
        <v>2668</v>
      </c>
      <c r="K82" t="s">
        <v>4739</v>
      </c>
      <c r="S82">
        <v>2080</v>
      </c>
      <c r="V82" s="482"/>
      <c r="Z82" t="s">
        <v>2832</v>
      </c>
      <c r="AA82" t="s">
        <v>3859</v>
      </c>
    </row>
    <row r="83" spans="1:27" x14ac:dyDescent="0.35">
      <c r="A83" s="328" t="s">
        <v>366</v>
      </c>
      <c r="B83" t="s">
        <v>367</v>
      </c>
      <c r="C83" s="327" t="s">
        <v>3192</v>
      </c>
      <c r="D83" s="328" t="str">
        <f t="shared" si="2"/>
        <v>NACE B - 08.92 Extraction of peat</v>
      </c>
      <c r="E83" s="325" t="s">
        <v>368</v>
      </c>
      <c r="F83" t="s">
        <v>369</v>
      </c>
      <c r="G83" t="str">
        <f t="shared" si="3"/>
        <v>GE</v>
      </c>
      <c r="H83" s="482"/>
      <c r="I83" t="s">
        <v>3522</v>
      </c>
      <c r="K83" t="s">
        <v>4740</v>
      </c>
      <c r="S83">
        <v>2081</v>
      </c>
      <c r="V83" s="483"/>
      <c r="Z83" t="s">
        <v>2744</v>
      </c>
      <c r="AA83" t="s">
        <v>3860</v>
      </c>
    </row>
    <row r="84" spans="1:27" x14ac:dyDescent="0.35">
      <c r="A84" s="328" t="s">
        <v>370</v>
      </c>
      <c r="B84" t="s">
        <v>371</v>
      </c>
      <c r="C84" s="324" t="s">
        <v>3193</v>
      </c>
      <c r="D84" s="328" t="str">
        <f t="shared" si="2"/>
        <v>NACE B - 08.93 Extraction of salt</v>
      </c>
      <c r="E84" s="325" t="s">
        <v>372</v>
      </c>
      <c r="F84" t="s">
        <v>373</v>
      </c>
      <c r="G84" t="str">
        <f t="shared" si="3"/>
        <v>GF</v>
      </c>
      <c r="H84" s="483"/>
      <c r="I84" t="s">
        <v>2667</v>
      </c>
      <c r="K84" t="s">
        <v>4741</v>
      </c>
      <c r="S84">
        <v>2082</v>
      </c>
      <c r="V84" s="483"/>
      <c r="Z84" t="s">
        <v>2833</v>
      </c>
      <c r="AA84" t="s">
        <v>3861</v>
      </c>
    </row>
    <row r="85" spans="1:27" x14ac:dyDescent="0.35">
      <c r="A85" s="328" t="s">
        <v>374</v>
      </c>
      <c r="B85" t="s">
        <v>375</v>
      </c>
      <c r="C85" s="327" t="s">
        <v>3194</v>
      </c>
      <c r="D85" s="328" t="str">
        <f t="shared" si="2"/>
        <v>NACE B - 08.99 Other mining and quarrying n.e.c.</v>
      </c>
      <c r="E85" s="325" t="s">
        <v>376</v>
      </c>
      <c r="F85" t="s">
        <v>377</v>
      </c>
      <c r="G85" t="str">
        <f t="shared" si="3"/>
        <v>GG</v>
      </c>
      <c r="H85" s="483"/>
      <c r="I85" t="s">
        <v>2666</v>
      </c>
      <c r="K85" t="s">
        <v>4742</v>
      </c>
      <c r="S85">
        <v>2083</v>
      </c>
      <c r="V85" s="90"/>
      <c r="Z85" t="s">
        <v>2834</v>
      </c>
      <c r="AA85" t="s">
        <v>3862</v>
      </c>
    </row>
    <row r="86" spans="1:27" x14ac:dyDescent="0.35">
      <c r="A86" s="324" t="s">
        <v>378</v>
      </c>
      <c r="B86" t="s">
        <v>379</v>
      </c>
      <c r="C86" s="327" t="s">
        <v>3195</v>
      </c>
      <c r="D86" s="324" t="str">
        <f t="shared" si="2"/>
        <v>NACE B - 08 Mining support service activities</v>
      </c>
      <c r="E86" s="325" t="s">
        <v>380</v>
      </c>
      <c r="F86" t="s">
        <v>381</v>
      </c>
      <c r="G86" t="str">
        <f t="shared" si="3"/>
        <v>GH</v>
      </c>
      <c r="H86" s="90"/>
      <c r="I86" t="s">
        <v>2665</v>
      </c>
      <c r="K86" t="s">
        <v>4743</v>
      </c>
      <c r="S86">
        <v>2084</v>
      </c>
      <c r="V86" s="483"/>
      <c r="Z86" t="s">
        <v>2835</v>
      </c>
      <c r="AA86" t="s">
        <v>3863</v>
      </c>
    </row>
    <row r="87" spans="1:27" x14ac:dyDescent="0.35">
      <c r="A87" s="327" t="s">
        <v>382</v>
      </c>
      <c r="B87" t="s">
        <v>383</v>
      </c>
      <c r="C87" s="324" t="s">
        <v>3196</v>
      </c>
      <c r="D87" s="327" t="str">
        <f t="shared" si="2"/>
        <v>NACE B - 09.1 Support activities for petroleum and natural gas extraction</v>
      </c>
      <c r="E87" s="325" t="s">
        <v>384</v>
      </c>
      <c r="F87" t="s">
        <v>385</v>
      </c>
      <c r="G87" t="str">
        <f t="shared" si="3"/>
        <v>GI</v>
      </c>
      <c r="H87" s="483"/>
      <c r="I87" t="s">
        <v>2664</v>
      </c>
      <c r="K87" t="s">
        <v>4744</v>
      </c>
      <c r="S87">
        <v>2085</v>
      </c>
      <c r="V87" s="483"/>
      <c r="Z87" t="s">
        <v>2836</v>
      </c>
      <c r="AA87" t="s">
        <v>3864</v>
      </c>
    </row>
    <row r="88" spans="1:27" x14ac:dyDescent="0.35">
      <c r="A88" s="328" t="s">
        <v>386</v>
      </c>
      <c r="B88" t="s">
        <v>387</v>
      </c>
      <c r="C88" s="327" t="s">
        <v>3197</v>
      </c>
      <c r="D88" s="328" t="str">
        <f t="shared" si="2"/>
        <v>NACE B - 09.10 Support activities for petroleum and natural gas extraction</v>
      </c>
      <c r="E88" s="325" t="s">
        <v>388</v>
      </c>
      <c r="F88" t="s">
        <v>389</v>
      </c>
      <c r="G88" t="str">
        <f t="shared" si="3"/>
        <v>GL</v>
      </c>
      <c r="H88" s="483"/>
      <c r="I88" t="s">
        <v>3530</v>
      </c>
      <c r="K88" t="s">
        <v>4745</v>
      </c>
      <c r="S88">
        <v>2086</v>
      </c>
      <c r="V88" s="483"/>
      <c r="Z88" t="s">
        <v>2837</v>
      </c>
      <c r="AA88" t="s">
        <v>3865</v>
      </c>
    </row>
    <row r="89" spans="1:27" x14ac:dyDescent="0.35">
      <c r="A89" s="327" t="s">
        <v>390</v>
      </c>
      <c r="B89" t="s">
        <v>391</v>
      </c>
      <c r="C89" s="327" t="s">
        <v>3198</v>
      </c>
      <c r="D89" s="327" t="str">
        <f t="shared" si="2"/>
        <v>NACE B - 09.9 Support activities for other mining and quarrying</v>
      </c>
      <c r="E89" s="325" t="s">
        <v>392</v>
      </c>
      <c r="F89" t="s">
        <v>393</v>
      </c>
      <c r="G89" t="str">
        <f t="shared" si="3"/>
        <v>GM</v>
      </c>
      <c r="H89" s="483"/>
      <c r="I89" t="s">
        <v>2663</v>
      </c>
      <c r="K89" t="s">
        <v>4746</v>
      </c>
      <c r="S89">
        <v>2087</v>
      </c>
      <c r="V89" s="483"/>
      <c r="Z89" t="s">
        <v>2838</v>
      </c>
      <c r="AA89" t="s">
        <v>3866</v>
      </c>
    </row>
    <row r="90" spans="1:27" x14ac:dyDescent="0.35">
      <c r="A90" s="328" t="s">
        <v>394</v>
      </c>
      <c r="B90" t="s">
        <v>395</v>
      </c>
      <c r="C90" s="327" t="s">
        <v>3199</v>
      </c>
      <c r="D90" s="328" t="str">
        <f t="shared" si="2"/>
        <v>NACE B - 09.90 Support activities for other mining and quarrying</v>
      </c>
      <c r="E90" s="325" t="s">
        <v>396</v>
      </c>
      <c r="F90" t="s">
        <v>397</v>
      </c>
      <c r="G90" t="str">
        <f t="shared" si="3"/>
        <v>GN</v>
      </c>
      <c r="H90" s="483"/>
      <c r="I90" t="s">
        <v>2662</v>
      </c>
      <c r="K90" t="s">
        <v>4747</v>
      </c>
      <c r="S90">
        <v>2088</v>
      </c>
      <c r="V90" s="483"/>
      <c r="Z90" t="s">
        <v>2904</v>
      </c>
      <c r="AA90" t="s">
        <v>3867</v>
      </c>
    </row>
    <row r="91" spans="1:27" x14ac:dyDescent="0.35">
      <c r="A91" s="325" t="s">
        <v>398</v>
      </c>
      <c r="B91" t="s">
        <v>399</v>
      </c>
      <c r="C91" s="327" t="s">
        <v>3200</v>
      </c>
      <c r="D91" s="325" t="str">
        <f t="shared" si="2"/>
        <v>NACE C - MANUFACTURING</v>
      </c>
      <c r="E91" s="325" t="s">
        <v>400</v>
      </c>
      <c r="F91" t="s">
        <v>401</v>
      </c>
      <c r="G91" t="str">
        <f t="shared" si="3"/>
        <v>GP</v>
      </c>
      <c r="H91" s="483"/>
      <c r="I91" t="s">
        <v>2661</v>
      </c>
      <c r="K91" t="s">
        <v>4748</v>
      </c>
      <c r="S91">
        <v>2089</v>
      </c>
      <c r="V91" s="483"/>
      <c r="Z91" t="s">
        <v>2839</v>
      </c>
      <c r="AA91" t="s">
        <v>3868</v>
      </c>
    </row>
    <row r="92" spans="1:27" x14ac:dyDescent="0.35">
      <c r="A92" s="324" t="s">
        <v>402</v>
      </c>
      <c r="B92" t="s">
        <v>403</v>
      </c>
      <c r="C92" s="327" t="s">
        <v>3201</v>
      </c>
      <c r="D92" s="324" t="str">
        <f t="shared" si="2"/>
        <v>NACE C - 10 Manufacture of food products</v>
      </c>
      <c r="E92" s="325" t="s">
        <v>404</v>
      </c>
      <c r="F92" t="s">
        <v>405</v>
      </c>
      <c r="G92" t="str">
        <f t="shared" si="3"/>
        <v>GQ</v>
      </c>
      <c r="H92" s="483"/>
      <c r="I92" t="s">
        <v>2660</v>
      </c>
      <c r="K92" t="s">
        <v>4749</v>
      </c>
      <c r="S92">
        <v>2090</v>
      </c>
      <c r="V92" s="483"/>
      <c r="Z92" t="s">
        <v>2840</v>
      </c>
      <c r="AA92" t="s">
        <v>3869</v>
      </c>
    </row>
    <row r="93" spans="1:27" x14ac:dyDescent="0.35">
      <c r="A93" s="327" t="s">
        <v>406</v>
      </c>
      <c r="B93" t="s">
        <v>407</v>
      </c>
      <c r="C93" s="327" t="s">
        <v>3202</v>
      </c>
      <c r="D93" s="327" t="str">
        <f t="shared" si="2"/>
        <v>NACE C - 10.1 Processing and preserving of meat and production of meat products</v>
      </c>
      <c r="E93" s="325" t="s">
        <v>408</v>
      </c>
      <c r="F93" t="s">
        <v>409</v>
      </c>
      <c r="G93" t="str">
        <f t="shared" si="3"/>
        <v>GR</v>
      </c>
      <c r="H93" s="483"/>
      <c r="I93" t="s">
        <v>2659</v>
      </c>
      <c r="K93" t="s">
        <v>4750</v>
      </c>
      <c r="S93">
        <v>2091</v>
      </c>
      <c r="V93" s="483"/>
      <c r="Z93" t="s">
        <v>2841</v>
      </c>
      <c r="AA93" t="s">
        <v>3870</v>
      </c>
    </row>
    <row r="94" spans="1:27" x14ac:dyDescent="0.35">
      <c r="A94" s="328" t="s">
        <v>410</v>
      </c>
      <c r="B94" t="s">
        <v>411</v>
      </c>
      <c r="C94" s="327" t="s">
        <v>3203</v>
      </c>
      <c r="D94" s="328" t="str">
        <f t="shared" si="2"/>
        <v>NACE C - 10.11 Processing and preserving of meat, except of poultry meat</v>
      </c>
      <c r="E94" s="325" t="s">
        <v>412</v>
      </c>
      <c r="F94" t="s">
        <v>413</v>
      </c>
      <c r="G94" t="str">
        <f t="shared" si="3"/>
        <v>GS</v>
      </c>
      <c r="H94" s="483"/>
      <c r="I94" t="s">
        <v>2658</v>
      </c>
      <c r="K94" t="s">
        <v>4751</v>
      </c>
      <c r="S94">
        <v>2092</v>
      </c>
      <c r="V94" s="90"/>
      <c r="Z94" t="s">
        <v>2842</v>
      </c>
      <c r="AA94" t="s">
        <v>3871</v>
      </c>
    </row>
    <row r="95" spans="1:27" x14ac:dyDescent="0.35">
      <c r="A95" s="328" t="s">
        <v>414</v>
      </c>
      <c r="B95" t="s">
        <v>415</v>
      </c>
      <c r="C95" s="327" t="s">
        <v>3204</v>
      </c>
      <c r="D95" s="328" t="str">
        <f t="shared" si="2"/>
        <v>NACE C - 10.12 Processing and preserving of poultry meat</v>
      </c>
      <c r="E95" s="325" t="s">
        <v>416</v>
      </c>
      <c r="F95" t="s">
        <v>417</v>
      </c>
      <c r="G95" t="str">
        <f t="shared" si="3"/>
        <v>GT</v>
      </c>
      <c r="H95" s="90"/>
      <c r="I95" t="s">
        <v>3523</v>
      </c>
      <c r="K95" t="s">
        <v>4752</v>
      </c>
      <c r="S95">
        <v>2093</v>
      </c>
      <c r="V95" s="483"/>
      <c r="Z95" t="s">
        <v>2843</v>
      </c>
      <c r="AA95" t="s">
        <v>3872</v>
      </c>
    </row>
    <row r="96" spans="1:27" x14ac:dyDescent="0.35">
      <c r="A96" s="328" t="s">
        <v>418</v>
      </c>
      <c r="B96" t="s">
        <v>419</v>
      </c>
      <c r="C96" s="324" t="s">
        <v>3205</v>
      </c>
      <c r="D96" s="328" t="str">
        <f t="shared" si="2"/>
        <v>NACE C - 10.13 Production of meat and poultry meat products</v>
      </c>
      <c r="E96" s="325" t="s">
        <v>420</v>
      </c>
      <c r="F96" t="s">
        <v>421</v>
      </c>
      <c r="G96" t="str">
        <f t="shared" si="3"/>
        <v>GU</v>
      </c>
      <c r="H96" s="483"/>
      <c r="K96" t="s">
        <v>4753</v>
      </c>
      <c r="S96">
        <v>2094</v>
      </c>
      <c r="V96" s="483"/>
      <c r="Z96" t="s">
        <v>2745</v>
      </c>
      <c r="AA96" t="s">
        <v>3873</v>
      </c>
    </row>
    <row r="97" spans="1:27" x14ac:dyDescent="0.35">
      <c r="A97" s="327" t="s">
        <v>422</v>
      </c>
      <c r="B97" t="s">
        <v>423</v>
      </c>
      <c r="C97" s="327" t="s">
        <v>3206</v>
      </c>
      <c r="D97" s="327" t="str">
        <f t="shared" si="2"/>
        <v>NACE C - 10.2 Processing and preserving of fish, crustaceans and molluscs</v>
      </c>
      <c r="E97" s="325" t="s">
        <v>424</v>
      </c>
      <c r="F97" t="s">
        <v>425</v>
      </c>
      <c r="G97" t="str">
        <f t="shared" si="3"/>
        <v>GW</v>
      </c>
      <c r="H97" s="483"/>
      <c r="K97" t="s">
        <v>4754</v>
      </c>
      <c r="S97">
        <v>2095</v>
      </c>
      <c r="V97" s="483"/>
      <c r="Z97" t="s">
        <v>2844</v>
      </c>
      <c r="AA97" t="s">
        <v>3874</v>
      </c>
    </row>
    <row r="98" spans="1:27" x14ac:dyDescent="0.35">
      <c r="A98" s="328" t="s">
        <v>426</v>
      </c>
      <c r="B98" t="s">
        <v>427</v>
      </c>
      <c r="C98" s="327" t="s">
        <v>3207</v>
      </c>
      <c r="D98" s="328" t="str">
        <f t="shared" si="2"/>
        <v>NACE C - 10.20 Processing and preserving of fish, crustaceans and molluscs</v>
      </c>
      <c r="E98" s="325" t="s">
        <v>428</v>
      </c>
      <c r="F98" t="s">
        <v>429</v>
      </c>
      <c r="G98" t="str">
        <f t="shared" si="3"/>
        <v>GY</v>
      </c>
      <c r="H98" s="483"/>
      <c r="K98" t="s">
        <v>4755</v>
      </c>
      <c r="S98">
        <v>2096</v>
      </c>
      <c r="V98" s="90"/>
      <c r="Z98" t="s">
        <v>2845</v>
      </c>
      <c r="AA98" t="s">
        <v>3875</v>
      </c>
    </row>
    <row r="99" spans="1:27" x14ac:dyDescent="0.35">
      <c r="A99" s="327" t="s">
        <v>430</v>
      </c>
      <c r="B99" t="s">
        <v>431</v>
      </c>
      <c r="C99" s="327" t="s">
        <v>3208</v>
      </c>
      <c r="D99" s="327" t="str">
        <f t="shared" si="2"/>
        <v>NACE C - 10.3 Processing and preserving of fruit and vegetables</v>
      </c>
      <c r="E99" s="325" t="s">
        <v>432</v>
      </c>
      <c r="F99" t="s">
        <v>433</v>
      </c>
      <c r="G99" t="str">
        <f t="shared" si="3"/>
        <v>HK</v>
      </c>
      <c r="H99" s="90"/>
      <c r="K99" t="s">
        <v>4756</v>
      </c>
      <c r="S99">
        <v>2097</v>
      </c>
      <c r="V99" s="483"/>
      <c r="Z99" t="s">
        <v>2746</v>
      </c>
      <c r="AA99" t="s">
        <v>3876</v>
      </c>
    </row>
    <row r="100" spans="1:27" x14ac:dyDescent="0.35">
      <c r="A100" s="328" t="s">
        <v>434</v>
      </c>
      <c r="B100" t="s">
        <v>435</v>
      </c>
      <c r="C100" s="327" t="s">
        <v>3209</v>
      </c>
      <c r="D100" s="328" t="str">
        <f t="shared" si="2"/>
        <v>NACE C - 10.31 Processing and preserving of potatoes</v>
      </c>
      <c r="E100" s="325" t="s">
        <v>436</v>
      </c>
      <c r="F100" t="s">
        <v>437</v>
      </c>
      <c r="G100" t="str">
        <f t="shared" si="3"/>
        <v>HM</v>
      </c>
      <c r="H100" s="483"/>
      <c r="K100" t="s">
        <v>4644</v>
      </c>
      <c r="S100">
        <v>2098</v>
      </c>
      <c r="V100" s="483"/>
      <c r="Z100" t="s">
        <v>2846</v>
      </c>
      <c r="AA100" t="s">
        <v>3877</v>
      </c>
    </row>
    <row r="101" spans="1:27" x14ac:dyDescent="0.35">
      <c r="A101" s="328" t="s">
        <v>438</v>
      </c>
      <c r="B101" t="s">
        <v>439</v>
      </c>
      <c r="C101" s="327" t="s">
        <v>3210</v>
      </c>
      <c r="D101" s="328" t="str">
        <f t="shared" si="2"/>
        <v>NACE C - 10.32 Manufacture of fruit and vegetable juice</v>
      </c>
      <c r="E101" s="325" t="s">
        <v>440</v>
      </c>
      <c r="F101" t="s">
        <v>441</v>
      </c>
      <c r="G101" t="str">
        <f t="shared" si="3"/>
        <v>HN</v>
      </c>
      <c r="H101" s="483"/>
      <c r="K101" t="s">
        <v>4757</v>
      </c>
      <c r="S101">
        <v>2099</v>
      </c>
      <c r="V101" s="483"/>
      <c r="Z101" t="s">
        <v>2847</v>
      </c>
      <c r="AA101" t="s">
        <v>3878</v>
      </c>
    </row>
    <row r="102" spans="1:27" x14ac:dyDescent="0.35">
      <c r="A102" s="328" t="s">
        <v>442</v>
      </c>
      <c r="B102" t="s">
        <v>443</v>
      </c>
      <c r="C102" s="324" t="s">
        <v>3211</v>
      </c>
      <c r="D102" s="328" t="str">
        <f t="shared" si="2"/>
        <v>NACE C - 10.39 Other processing and preserving of fruit and vegetables</v>
      </c>
      <c r="E102" s="325" t="s">
        <v>444</v>
      </c>
      <c r="F102" t="s">
        <v>445</v>
      </c>
      <c r="G102" t="str">
        <f t="shared" si="3"/>
        <v>HR</v>
      </c>
      <c r="H102" s="483"/>
      <c r="K102" t="s">
        <v>4758</v>
      </c>
      <c r="S102">
        <v>2100</v>
      </c>
      <c r="V102" s="483"/>
      <c r="Z102" t="s">
        <v>2848</v>
      </c>
      <c r="AA102" t="s">
        <v>3879</v>
      </c>
    </row>
    <row r="103" spans="1:27" x14ac:dyDescent="0.35">
      <c r="A103" s="327" t="s">
        <v>446</v>
      </c>
      <c r="B103" t="s">
        <v>447</v>
      </c>
      <c r="C103" s="327" t="s">
        <v>3212</v>
      </c>
      <c r="D103" s="327" t="str">
        <f t="shared" si="2"/>
        <v>NACE C - 10.4 Manufacture of vegetable and animal oils and fats</v>
      </c>
      <c r="E103" s="325" t="s">
        <v>448</v>
      </c>
      <c r="F103" t="s">
        <v>449</v>
      </c>
      <c r="G103" t="str">
        <f t="shared" si="3"/>
        <v>HT</v>
      </c>
      <c r="H103" s="483"/>
      <c r="K103" t="s">
        <v>4759</v>
      </c>
      <c r="V103" s="483"/>
      <c r="Z103" t="s">
        <v>2849</v>
      </c>
      <c r="AA103" t="s">
        <v>3880</v>
      </c>
    </row>
    <row r="104" spans="1:27" x14ac:dyDescent="0.35">
      <c r="A104" s="328" t="s">
        <v>450</v>
      </c>
      <c r="B104" t="s">
        <v>451</v>
      </c>
      <c r="C104" s="327" t="s">
        <v>3213</v>
      </c>
      <c r="D104" s="328" t="str">
        <f t="shared" si="2"/>
        <v>NACE C - 10.41 Manufacture of oils and fats</v>
      </c>
      <c r="E104" s="325" t="s">
        <v>452</v>
      </c>
      <c r="F104" t="s">
        <v>453</v>
      </c>
      <c r="G104" t="str">
        <f t="shared" si="3"/>
        <v>HU</v>
      </c>
      <c r="H104" s="483"/>
      <c r="K104" t="s">
        <v>4760</v>
      </c>
      <c r="V104" s="483"/>
      <c r="Z104" t="s">
        <v>2850</v>
      </c>
      <c r="AA104" t="s">
        <v>3881</v>
      </c>
    </row>
    <row r="105" spans="1:27" x14ac:dyDescent="0.35">
      <c r="A105" s="328" t="s">
        <v>454</v>
      </c>
      <c r="B105" t="s">
        <v>455</v>
      </c>
      <c r="C105" s="327" t="s">
        <v>3214</v>
      </c>
      <c r="D105" s="328" t="str">
        <f t="shared" si="2"/>
        <v>NACE C - 10.42 Manufacture of margarine and similar edible fats</v>
      </c>
      <c r="E105" s="325" t="s">
        <v>456</v>
      </c>
      <c r="F105" t="s">
        <v>457</v>
      </c>
      <c r="G105" t="str">
        <f t="shared" si="3"/>
        <v>ID</v>
      </c>
      <c r="H105" s="483"/>
      <c r="K105" t="s">
        <v>4761</v>
      </c>
      <c r="V105" s="483"/>
      <c r="Z105" t="s">
        <v>2851</v>
      </c>
      <c r="AA105" t="s">
        <v>3882</v>
      </c>
    </row>
    <row r="106" spans="1:27" x14ac:dyDescent="0.35">
      <c r="A106" s="327" t="s">
        <v>458</v>
      </c>
      <c r="B106" t="s">
        <v>459</v>
      </c>
      <c r="C106" s="327" t="s">
        <v>3215</v>
      </c>
      <c r="D106" s="327" t="str">
        <f t="shared" si="2"/>
        <v>NACE C - 10.5 Manufacture of dairy products and edible ice</v>
      </c>
      <c r="E106" s="325" t="s">
        <v>460</v>
      </c>
      <c r="F106" t="s">
        <v>461</v>
      </c>
      <c r="G106" t="str">
        <f t="shared" si="3"/>
        <v>IE</v>
      </c>
      <c r="H106" s="483"/>
      <c r="K106" t="s">
        <v>4762</v>
      </c>
      <c r="V106" s="90"/>
      <c r="Z106" t="s">
        <v>2852</v>
      </c>
      <c r="AA106" t="s">
        <v>3883</v>
      </c>
    </row>
    <row r="107" spans="1:27" x14ac:dyDescent="0.35">
      <c r="A107" s="328" t="s">
        <v>462</v>
      </c>
      <c r="B107" t="s">
        <v>463</v>
      </c>
      <c r="C107" s="327" t="s">
        <v>3216</v>
      </c>
      <c r="D107" s="328" t="str">
        <f t="shared" si="2"/>
        <v>NACE C - 10.51 Manufacture of dairy products</v>
      </c>
      <c r="E107" s="325" t="s">
        <v>464</v>
      </c>
      <c r="F107" t="s">
        <v>465</v>
      </c>
      <c r="G107" t="str">
        <f t="shared" si="3"/>
        <v>IL</v>
      </c>
      <c r="H107" s="90"/>
      <c r="K107" t="s">
        <v>4763</v>
      </c>
      <c r="V107" s="483"/>
      <c r="Z107" t="s">
        <v>2853</v>
      </c>
      <c r="AA107" t="s">
        <v>3884</v>
      </c>
    </row>
    <row r="108" spans="1:27" x14ac:dyDescent="0.35">
      <c r="A108" s="328" t="s">
        <v>466</v>
      </c>
      <c r="B108" t="s">
        <v>467</v>
      </c>
      <c r="C108" s="327" t="s">
        <v>3217</v>
      </c>
      <c r="D108" s="328" t="str">
        <f t="shared" si="2"/>
        <v>NACE C - 10.52 Manufacture of ice cream and other edible ice</v>
      </c>
      <c r="E108" s="325" t="s">
        <v>468</v>
      </c>
      <c r="F108" t="s">
        <v>469</v>
      </c>
      <c r="G108" t="str">
        <f t="shared" si="3"/>
        <v>IM</v>
      </c>
      <c r="H108" s="483"/>
      <c r="K108" t="s">
        <v>4764</v>
      </c>
      <c r="V108" s="483"/>
      <c r="Z108" t="s">
        <v>2747</v>
      </c>
      <c r="AA108" t="s">
        <v>3885</v>
      </c>
    </row>
    <row r="109" spans="1:27" x14ac:dyDescent="0.35">
      <c r="A109" s="327" t="s">
        <v>470</v>
      </c>
      <c r="B109" t="s">
        <v>471</v>
      </c>
      <c r="C109" s="327" t="s">
        <v>3218</v>
      </c>
      <c r="D109" s="327" t="str">
        <f t="shared" si="2"/>
        <v>NACE C - 10.6 Manufacture of grain mill products, starches and starch products</v>
      </c>
      <c r="E109" s="325" t="s">
        <v>472</v>
      </c>
      <c r="F109" t="s">
        <v>473</v>
      </c>
      <c r="G109" t="str">
        <f t="shared" si="3"/>
        <v>IN</v>
      </c>
      <c r="H109" s="483"/>
      <c r="K109" t="s">
        <v>4765</v>
      </c>
      <c r="V109" s="90"/>
      <c r="Z109" t="s">
        <v>2854</v>
      </c>
      <c r="AA109" t="s">
        <v>3886</v>
      </c>
    </row>
    <row r="110" spans="1:27" x14ac:dyDescent="0.35">
      <c r="A110" s="328" t="s">
        <v>474</v>
      </c>
      <c r="B110" t="s">
        <v>475</v>
      </c>
      <c r="C110" s="324" t="s">
        <v>3219</v>
      </c>
      <c r="D110" s="328" t="str">
        <f t="shared" si="2"/>
        <v>NACE C - 10.61 Manufacture of grain mill products</v>
      </c>
      <c r="E110" s="325" t="s">
        <v>476</v>
      </c>
      <c r="F110" t="s">
        <v>477</v>
      </c>
      <c r="G110" t="str">
        <f t="shared" si="3"/>
        <v>IO</v>
      </c>
      <c r="H110" s="90"/>
      <c r="K110" t="s">
        <v>4766</v>
      </c>
      <c r="V110" s="483"/>
      <c r="Z110" t="s">
        <v>2855</v>
      </c>
      <c r="AA110" t="s">
        <v>3887</v>
      </c>
    </row>
    <row r="111" spans="1:27" x14ac:dyDescent="0.35">
      <c r="A111" s="328" t="s">
        <v>478</v>
      </c>
      <c r="B111" t="s">
        <v>479</v>
      </c>
      <c r="C111" s="327" t="s">
        <v>3220</v>
      </c>
      <c r="D111" s="328" t="str">
        <f t="shared" si="2"/>
        <v>NACE C - 10.62 Manufacture of starches and starch products</v>
      </c>
      <c r="E111" s="325" t="s">
        <v>480</v>
      </c>
      <c r="F111" t="s">
        <v>481</v>
      </c>
      <c r="G111" t="str">
        <f t="shared" si="3"/>
        <v>IQ</v>
      </c>
      <c r="H111" s="483"/>
      <c r="K111" t="s">
        <v>4767</v>
      </c>
      <c r="V111" s="483"/>
      <c r="Z111" t="s">
        <v>2856</v>
      </c>
      <c r="AA111" t="s">
        <v>3888</v>
      </c>
    </row>
    <row r="112" spans="1:27" x14ac:dyDescent="0.35">
      <c r="A112" s="327" t="s">
        <v>482</v>
      </c>
      <c r="B112" t="s">
        <v>483</v>
      </c>
      <c r="C112" s="327" t="s">
        <v>3221</v>
      </c>
      <c r="D112" s="327" t="str">
        <f t="shared" si="2"/>
        <v>NACE C - 10.7 Manufacture of bakery and farinaceous products</v>
      </c>
      <c r="E112" s="325" t="s">
        <v>484</v>
      </c>
      <c r="F112" t="s">
        <v>485</v>
      </c>
      <c r="G112" t="str">
        <f t="shared" si="3"/>
        <v>IR</v>
      </c>
      <c r="H112" s="483"/>
      <c r="K112" t="s">
        <v>4768</v>
      </c>
      <c r="V112" s="483"/>
      <c r="Z112" t="s">
        <v>2857</v>
      </c>
      <c r="AA112" t="s">
        <v>3889</v>
      </c>
    </row>
    <row r="113" spans="1:27" x14ac:dyDescent="0.35">
      <c r="A113" s="328" t="s">
        <v>486</v>
      </c>
      <c r="B113" t="s">
        <v>487</v>
      </c>
      <c r="C113" s="327" t="s">
        <v>3222</v>
      </c>
      <c r="D113" s="328" t="str">
        <f t="shared" si="2"/>
        <v>NACE C - 10.71 Manufacture of bread; manufacture of fresh pastry goods and cakes</v>
      </c>
      <c r="E113" s="325" t="s">
        <v>488</v>
      </c>
      <c r="F113" t="s">
        <v>489</v>
      </c>
      <c r="G113" t="str">
        <f t="shared" si="3"/>
        <v>IS</v>
      </c>
      <c r="H113" s="483"/>
      <c r="K113" t="s">
        <v>4769</v>
      </c>
      <c r="V113" s="483"/>
      <c r="Z113" t="s">
        <v>2858</v>
      </c>
      <c r="AA113" t="s">
        <v>3890</v>
      </c>
    </row>
    <row r="114" spans="1:27" x14ac:dyDescent="0.35">
      <c r="A114" s="328" t="s">
        <v>490</v>
      </c>
      <c r="B114" t="s">
        <v>491</v>
      </c>
      <c r="C114" s="327" t="s">
        <v>3223</v>
      </c>
      <c r="D114" s="328" t="str">
        <f t="shared" si="2"/>
        <v>NACE C - 10.72 Manufacture of rusks, biscuits, preserved pastries and cakes</v>
      </c>
      <c r="E114" s="325" t="s">
        <v>492</v>
      </c>
      <c r="F114" t="s">
        <v>493</v>
      </c>
      <c r="G114" t="str">
        <f t="shared" si="3"/>
        <v>IT</v>
      </c>
      <c r="H114" s="483"/>
      <c r="K114" t="s">
        <v>4770</v>
      </c>
      <c r="V114" s="90"/>
      <c r="Z114" t="s">
        <v>2859</v>
      </c>
      <c r="AA114" t="s">
        <v>3891</v>
      </c>
    </row>
    <row r="115" spans="1:27" x14ac:dyDescent="0.35">
      <c r="A115" s="328" t="s">
        <v>494</v>
      </c>
      <c r="B115" t="s">
        <v>495</v>
      </c>
      <c r="C115" s="327" t="s">
        <v>3224</v>
      </c>
      <c r="D115" s="328" t="str">
        <f t="shared" si="2"/>
        <v>NACE C - 10.73 Manufacture of farinaceous products</v>
      </c>
      <c r="E115" s="325" t="s">
        <v>496</v>
      </c>
      <c r="F115" t="s">
        <v>497</v>
      </c>
      <c r="G115" t="str">
        <f t="shared" si="3"/>
        <v>JE</v>
      </c>
      <c r="H115" s="90"/>
      <c r="K115" t="s">
        <v>4771</v>
      </c>
      <c r="V115" s="483"/>
      <c r="Z115" t="s">
        <v>2860</v>
      </c>
      <c r="AA115" t="s">
        <v>3892</v>
      </c>
    </row>
    <row r="116" spans="1:27" x14ac:dyDescent="0.35">
      <c r="A116" s="327" t="s">
        <v>498</v>
      </c>
      <c r="B116" t="s">
        <v>499</v>
      </c>
      <c r="C116" s="327" t="s">
        <v>3225</v>
      </c>
      <c r="D116" s="327" t="str">
        <f t="shared" si="2"/>
        <v>NACE C - 10.8 Manufacture of other food products</v>
      </c>
      <c r="E116" s="325" t="s">
        <v>500</v>
      </c>
      <c r="F116" t="s">
        <v>501</v>
      </c>
      <c r="G116" t="str">
        <f t="shared" si="3"/>
        <v>JM</v>
      </c>
      <c r="H116" s="483"/>
      <c r="K116" t="s">
        <v>4772</v>
      </c>
      <c r="V116" s="483"/>
      <c r="Z116" t="s">
        <v>2748</v>
      </c>
      <c r="AA116" t="s">
        <v>3893</v>
      </c>
    </row>
    <row r="117" spans="1:27" x14ac:dyDescent="0.35">
      <c r="A117" s="328" t="s">
        <v>502</v>
      </c>
      <c r="B117" t="s">
        <v>503</v>
      </c>
      <c r="C117" s="327" t="s">
        <v>3226</v>
      </c>
      <c r="D117" s="328" t="str">
        <f t="shared" si="2"/>
        <v>NACE C - 10.81 Manufacture of sugar</v>
      </c>
      <c r="E117" s="325" t="s">
        <v>504</v>
      </c>
      <c r="F117" t="s">
        <v>505</v>
      </c>
      <c r="G117" t="str">
        <f t="shared" si="3"/>
        <v>JO</v>
      </c>
      <c r="H117" s="483"/>
      <c r="K117" t="s">
        <v>4773</v>
      </c>
      <c r="V117" s="483"/>
      <c r="Z117" t="s">
        <v>2861</v>
      </c>
      <c r="AA117" t="s">
        <v>3894</v>
      </c>
    </row>
    <row r="118" spans="1:27" x14ac:dyDescent="0.35">
      <c r="A118" s="328" t="s">
        <v>506</v>
      </c>
      <c r="B118" t="s">
        <v>507</v>
      </c>
      <c r="C118" s="324" t="s">
        <v>3227</v>
      </c>
      <c r="D118" s="328" t="str">
        <f t="shared" si="2"/>
        <v>NACE C - 10.82 Manufacture of cocoa, chocolate and sugar confectionery</v>
      </c>
      <c r="E118" s="325" t="s">
        <v>508</v>
      </c>
      <c r="F118" t="s">
        <v>509</v>
      </c>
      <c r="G118" t="str">
        <f t="shared" si="3"/>
        <v>JP</v>
      </c>
      <c r="H118" s="483"/>
      <c r="K118" t="s">
        <v>4774</v>
      </c>
      <c r="V118" s="90"/>
      <c r="Z118" t="s">
        <v>2862</v>
      </c>
      <c r="AA118" t="s">
        <v>3895</v>
      </c>
    </row>
    <row r="119" spans="1:27" x14ac:dyDescent="0.35">
      <c r="A119" s="328" t="s">
        <v>510</v>
      </c>
      <c r="B119" t="s">
        <v>511</v>
      </c>
      <c r="C119" s="327" t="s">
        <v>3228</v>
      </c>
      <c r="D119" s="328" t="str">
        <f t="shared" si="2"/>
        <v>NACE C - 10.83 Processing of tea and coffee</v>
      </c>
      <c r="E119" s="325" t="s">
        <v>512</v>
      </c>
      <c r="F119" t="s">
        <v>513</v>
      </c>
      <c r="G119" t="str">
        <f t="shared" si="3"/>
        <v>KE</v>
      </c>
      <c r="H119" s="90"/>
      <c r="K119" t="s">
        <v>4775</v>
      </c>
      <c r="V119" s="483"/>
      <c r="Z119" t="s">
        <v>2749</v>
      </c>
      <c r="AA119" t="s">
        <v>3896</v>
      </c>
    </row>
    <row r="120" spans="1:27" x14ac:dyDescent="0.35">
      <c r="A120" s="328" t="s">
        <v>514</v>
      </c>
      <c r="B120" t="s">
        <v>515</v>
      </c>
      <c r="C120" s="327" t="s">
        <v>3229</v>
      </c>
      <c r="D120" s="328" t="str">
        <f t="shared" si="2"/>
        <v>NACE C - 10.84 Manufacture of condiments and seasonings</v>
      </c>
      <c r="E120" s="325" t="s">
        <v>516</v>
      </c>
      <c r="F120" t="s">
        <v>517</v>
      </c>
      <c r="G120" t="str">
        <f t="shared" si="3"/>
        <v>KG</v>
      </c>
      <c r="H120" s="483"/>
      <c r="K120" t="s">
        <v>4776</v>
      </c>
      <c r="V120" s="483"/>
      <c r="Z120" t="s">
        <v>2863</v>
      </c>
      <c r="AA120" t="s">
        <v>3897</v>
      </c>
    </row>
    <row r="121" spans="1:27" x14ac:dyDescent="0.35">
      <c r="A121" s="328" t="s">
        <v>518</v>
      </c>
      <c r="B121" t="s">
        <v>519</v>
      </c>
      <c r="C121" s="327" t="s">
        <v>3230</v>
      </c>
      <c r="D121" s="328" t="str">
        <f t="shared" si="2"/>
        <v>NACE C - 10.85 Manufacture of prepared meals and dishes</v>
      </c>
      <c r="E121" s="325" t="s">
        <v>520</v>
      </c>
      <c r="F121" t="s">
        <v>521</v>
      </c>
      <c r="G121" t="str">
        <f t="shared" si="3"/>
        <v>KH</v>
      </c>
      <c r="H121" s="483"/>
      <c r="K121" t="s">
        <v>4777</v>
      </c>
      <c r="V121" s="483"/>
      <c r="Z121" t="s">
        <v>2864</v>
      </c>
      <c r="AA121" t="s">
        <v>3898</v>
      </c>
    </row>
    <row r="122" spans="1:27" x14ac:dyDescent="0.35">
      <c r="A122" s="328" t="s">
        <v>522</v>
      </c>
      <c r="B122" t="s">
        <v>523</v>
      </c>
      <c r="C122" s="327" t="s">
        <v>3231</v>
      </c>
      <c r="D122" s="328" t="str">
        <f t="shared" si="2"/>
        <v>NACE C - 10.86 Manufacture of homogenised food preparations and dietetic food</v>
      </c>
      <c r="E122" s="325" t="s">
        <v>524</v>
      </c>
      <c r="F122" t="s">
        <v>525</v>
      </c>
      <c r="G122" t="str">
        <f t="shared" si="3"/>
        <v>KI</v>
      </c>
      <c r="H122" s="483"/>
      <c r="K122" t="s">
        <v>4778</v>
      </c>
      <c r="V122" s="483"/>
      <c r="Z122" t="s">
        <v>2865</v>
      </c>
      <c r="AA122" t="s">
        <v>3899</v>
      </c>
    </row>
    <row r="123" spans="1:27" x14ac:dyDescent="0.35">
      <c r="A123" s="328" t="s">
        <v>526</v>
      </c>
      <c r="B123" t="s">
        <v>527</v>
      </c>
      <c r="C123" s="327" t="s">
        <v>3232</v>
      </c>
      <c r="D123" s="328" t="str">
        <f t="shared" si="2"/>
        <v>NACE C - 10.89 Manufacture of other food products n.e.c.</v>
      </c>
      <c r="E123" s="325" t="s">
        <v>528</v>
      </c>
      <c r="F123" t="s">
        <v>529</v>
      </c>
      <c r="G123" t="str">
        <f t="shared" si="3"/>
        <v>KM</v>
      </c>
      <c r="H123" s="483"/>
      <c r="K123" t="s">
        <v>4779</v>
      </c>
      <c r="V123" s="483"/>
      <c r="Z123" t="s">
        <v>2866</v>
      </c>
      <c r="AA123" t="s">
        <v>3900</v>
      </c>
    </row>
    <row r="124" spans="1:27" x14ac:dyDescent="0.35">
      <c r="A124" s="327" t="s">
        <v>530</v>
      </c>
      <c r="B124" t="s">
        <v>531</v>
      </c>
      <c r="C124" s="327" t="s">
        <v>3233</v>
      </c>
      <c r="D124" s="327" t="str">
        <f t="shared" si="2"/>
        <v>NACE C - 10.9 Manufacture of prepared animal feeds</v>
      </c>
      <c r="E124" s="325" t="s">
        <v>532</v>
      </c>
      <c r="F124" t="s">
        <v>533</v>
      </c>
      <c r="G124" t="str">
        <f t="shared" si="3"/>
        <v>KN</v>
      </c>
      <c r="H124" s="483"/>
      <c r="K124" t="s">
        <v>4645</v>
      </c>
      <c r="V124" s="90"/>
      <c r="Z124" t="s">
        <v>2867</v>
      </c>
      <c r="AA124" t="s">
        <v>3901</v>
      </c>
    </row>
    <row r="125" spans="1:27" x14ac:dyDescent="0.35">
      <c r="A125" s="328" t="s">
        <v>534</v>
      </c>
      <c r="B125" t="s">
        <v>535</v>
      </c>
      <c r="C125" s="324" t="s">
        <v>3234</v>
      </c>
      <c r="D125" s="328" t="str">
        <f t="shared" si="2"/>
        <v>NACE C - 10.91 Manufacture of prepared feeds for farm animals</v>
      </c>
      <c r="E125" s="325" t="s">
        <v>536</v>
      </c>
      <c r="F125" t="s">
        <v>537</v>
      </c>
      <c r="G125" t="str">
        <f t="shared" si="3"/>
        <v>KP</v>
      </c>
      <c r="H125" s="90"/>
      <c r="K125" t="s">
        <v>4780</v>
      </c>
      <c r="V125" s="483"/>
      <c r="Z125" t="s">
        <v>2868</v>
      </c>
      <c r="AA125" t="s">
        <v>3902</v>
      </c>
    </row>
    <row r="126" spans="1:27" x14ac:dyDescent="0.35">
      <c r="A126" s="328" t="s">
        <v>538</v>
      </c>
      <c r="B126" t="s">
        <v>539</v>
      </c>
      <c r="C126" s="327" t="s">
        <v>3235</v>
      </c>
      <c r="D126" s="328" t="str">
        <f t="shared" si="2"/>
        <v>NACE C - 10.92 Manufacture of prepared pet foods</v>
      </c>
      <c r="E126" s="325" t="s">
        <v>540</v>
      </c>
      <c r="F126" t="s">
        <v>541</v>
      </c>
      <c r="G126" t="str">
        <f t="shared" si="3"/>
        <v>KR</v>
      </c>
      <c r="H126" s="483"/>
      <c r="K126" t="s">
        <v>4781</v>
      </c>
      <c r="V126" s="483"/>
      <c r="Z126" t="s">
        <v>2869</v>
      </c>
      <c r="AA126" t="s">
        <v>3903</v>
      </c>
    </row>
    <row r="127" spans="1:27" x14ac:dyDescent="0.35">
      <c r="A127" s="324" t="s">
        <v>542</v>
      </c>
      <c r="B127" t="s">
        <v>543</v>
      </c>
      <c r="C127" s="327" t="s">
        <v>3236</v>
      </c>
      <c r="D127" s="324" t="str">
        <f t="shared" si="2"/>
        <v>NACE C - 11 Manufacture of beverages</v>
      </c>
      <c r="E127" s="325" t="s">
        <v>544</v>
      </c>
      <c r="F127" t="s">
        <v>545</v>
      </c>
      <c r="G127" t="str">
        <f t="shared" si="3"/>
        <v>KW</v>
      </c>
      <c r="H127" s="483"/>
      <c r="K127" t="s">
        <v>4782</v>
      </c>
      <c r="V127" s="483"/>
      <c r="Z127" t="s">
        <v>2870</v>
      </c>
      <c r="AA127" t="s">
        <v>3904</v>
      </c>
    </row>
    <row r="128" spans="1:27" x14ac:dyDescent="0.35">
      <c r="A128" s="327" t="s">
        <v>546</v>
      </c>
      <c r="B128" t="s">
        <v>547</v>
      </c>
      <c r="C128" s="327" t="s">
        <v>3237</v>
      </c>
      <c r="D128" s="327" t="str">
        <f t="shared" si="2"/>
        <v>NACE C - 11.0 Manufacture of beverages</v>
      </c>
      <c r="E128" s="325" t="s">
        <v>548</v>
      </c>
      <c r="F128" t="s">
        <v>549</v>
      </c>
      <c r="G128" t="str">
        <f t="shared" si="3"/>
        <v>KY</v>
      </c>
      <c r="H128" s="483"/>
      <c r="K128" t="s">
        <v>4783</v>
      </c>
      <c r="V128" s="483"/>
      <c r="Z128" t="s">
        <v>2871</v>
      </c>
      <c r="AA128" t="s">
        <v>3905</v>
      </c>
    </row>
    <row r="129" spans="1:27" x14ac:dyDescent="0.35">
      <c r="A129" s="328" t="s">
        <v>550</v>
      </c>
      <c r="B129" t="s">
        <v>551</v>
      </c>
      <c r="C129" s="327" t="s">
        <v>3238</v>
      </c>
      <c r="D129" s="328" t="str">
        <f t="shared" si="2"/>
        <v>NACE C - 11.01 Distilling, rectifying and blending of spirits</v>
      </c>
      <c r="E129" s="325" t="s">
        <v>552</v>
      </c>
      <c r="F129" t="s">
        <v>553</v>
      </c>
      <c r="G129" t="str">
        <f t="shared" si="3"/>
        <v>KZ</v>
      </c>
      <c r="H129" s="483"/>
      <c r="K129" t="s">
        <v>4784</v>
      </c>
      <c r="V129" s="483"/>
      <c r="Z129" t="s">
        <v>2872</v>
      </c>
      <c r="AA129" t="s">
        <v>3906</v>
      </c>
    </row>
    <row r="130" spans="1:27" x14ac:dyDescent="0.35">
      <c r="A130" s="328" t="s">
        <v>554</v>
      </c>
      <c r="B130" t="s">
        <v>555</v>
      </c>
      <c r="C130" s="327" t="s">
        <v>3239</v>
      </c>
      <c r="D130" s="328" t="str">
        <f t="shared" ref="D130:D193" si="4">_xlfn.CONCAT("NACE ", A130)</f>
        <v>NACE C - 11.02 Manufacture of wine from grape</v>
      </c>
      <c r="E130" s="325" t="s">
        <v>556</v>
      </c>
      <c r="F130" t="s">
        <v>557</v>
      </c>
      <c r="G130" t="str">
        <f t="shared" si="3"/>
        <v>LA</v>
      </c>
      <c r="H130" s="483"/>
      <c r="K130" t="s">
        <v>4785</v>
      </c>
      <c r="V130" s="90"/>
      <c r="Z130" t="s">
        <v>2750</v>
      </c>
      <c r="AA130" t="s">
        <v>3907</v>
      </c>
    </row>
    <row r="131" spans="1:27" x14ac:dyDescent="0.35">
      <c r="A131" s="328" t="s">
        <v>558</v>
      </c>
      <c r="B131" t="s">
        <v>559</v>
      </c>
      <c r="C131" s="324" t="s">
        <v>3240</v>
      </c>
      <c r="D131" s="328" t="str">
        <f t="shared" si="4"/>
        <v>NACE C - 11.03 Manufacture of cider and other fermented fruit beverages</v>
      </c>
      <c r="E131" s="325" t="s">
        <v>560</v>
      </c>
      <c r="F131" t="s">
        <v>561</v>
      </c>
      <c r="G131" t="str">
        <f t="shared" ref="G131:G194" si="5">RIGHT(F131,2)</f>
        <v>LB</v>
      </c>
      <c r="H131" s="90"/>
      <c r="K131" t="s">
        <v>4786</v>
      </c>
      <c r="V131" s="483"/>
      <c r="Z131" t="s">
        <v>2873</v>
      </c>
      <c r="AA131" t="s">
        <v>3908</v>
      </c>
    </row>
    <row r="132" spans="1:27" x14ac:dyDescent="0.35">
      <c r="A132" s="328" t="s">
        <v>562</v>
      </c>
      <c r="B132" t="s">
        <v>563</v>
      </c>
      <c r="C132" s="327" t="s">
        <v>3241</v>
      </c>
      <c r="D132" s="328" t="str">
        <f t="shared" si="4"/>
        <v>NACE C - 11.04 Manufacture of other non-distilled fermented beverages</v>
      </c>
      <c r="E132" s="325" t="s">
        <v>564</v>
      </c>
      <c r="F132" t="s">
        <v>565</v>
      </c>
      <c r="G132" t="str">
        <f t="shared" si="5"/>
        <v>LC</v>
      </c>
      <c r="H132" s="483"/>
      <c r="K132" t="s">
        <v>4787</v>
      </c>
      <c r="V132" s="483"/>
      <c r="Z132" t="s">
        <v>2874</v>
      </c>
      <c r="AA132" t="s">
        <v>3909</v>
      </c>
    </row>
    <row r="133" spans="1:27" x14ac:dyDescent="0.35">
      <c r="A133" s="328" t="s">
        <v>566</v>
      </c>
      <c r="B133" t="s">
        <v>567</v>
      </c>
      <c r="C133" s="327" t="s">
        <v>3242</v>
      </c>
      <c r="D133" s="328" t="str">
        <f t="shared" si="4"/>
        <v>NACE C - 11.05 Manufacture of beer</v>
      </c>
      <c r="E133" s="325" t="s">
        <v>568</v>
      </c>
      <c r="F133" t="s">
        <v>569</v>
      </c>
      <c r="G133" t="str">
        <f t="shared" si="5"/>
        <v>LI</v>
      </c>
      <c r="H133" s="483"/>
      <c r="K133" t="s">
        <v>4788</v>
      </c>
      <c r="V133" s="483"/>
      <c r="Z133" t="s">
        <v>2875</v>
      </c>
      <c r="AA133" t="s">
        <v>3910</v>
      </c>
    </row>
    <row r="134" spans="1:27" x14ac:dyDescent="0.35">
      <c r="A134" s="328" t="s">
        <v>570</v>
      </c>
      <c r="B134" t="s">
        <v>571</v>
      </c>
      <c r="C134" s="327" t="s">
        <v>3243</v>
      </c>
      <c r="D134" s="328" t="str">
        <f t="shared" si="4"/>
        <v>NACE C - 11.06 Manufacture of malt</v>
      </c>
      <c r="E134" s="325" t="s">
        <v>572</v>
      </c>
      <c r="F134" t="s">
        <v>573</v>
      </c>
      <c r="G134" t="str">
        <f t="shared" si="5"/>
        <v>LK</v>
      </c>
      <c r="H134" s="483"/>
      <c r="K134" t="s">
        <v>4789</v>
      </c>
      <c r="V134" s="90"/>
      <c r="AA134" t="s">
        <v>3911</v>
      </c>
    </row>
    <row r="135" spans="1:27" x14ac:dyDescent="0.35">
      <c r="A135" s="328" t="s">
        <v>574</v>
      </c>
      <c r="B135" t="s">
        <v>575</v>
      </c>
      <c r="C135" s="324" t="s">
        <v>3244</v>
      </c>
      <c r="D135" s="328" t="str">
        <f t="shared" si="4"/>
        <v>NACE C - 11.07 Manufacture of soft drinks and bottled waters</v>
      </c>
      <c r="E135" s="325" t="s">
        <v>576</v>
      </c>
      <c r="F135" t="s">
        <v>577</v>
      </c>
      <c r="G135" t="str">
        <f t="shared" si="5"/>
        <v>LR</v>
      </c>
      <c r="H135" s="90"/>
      <c r="K135" t="s">
        <v>4790</v>
      </c>
      <c r="V135" s="483"/>
      <c r="AA135" t="s">
        <v>3912</v>
      </c>
    </row>
    <row r="136" spans="1:27" x14ac:dyDescent="0.35">
      <c r="A136" s="324" t="s">
        <v>578</v>
      </c>
      <c r="B136" t="s">
        <v>579</v>
      </c>
      <c r="C136" s="327" t="s">
        <v>3245</v>
      </c>
      <c r="D136" s="324" t="str">
        <f t="shared" si="4"/>
        <v>NACE C - 12 Manufacture of tobacco products</v>
      </c>
      <c r="E136" s="325" t="s">
        <v>580</v>
      </c>
      <c r="F136" t="s">
        <v>581</v>
      </c>
      <c r="G136" t="str">
        <f t="shared" si="5"/>
        <v>LS</v>
      </c>
      <c r="H136" s="483"/>
      <c r="K136" t="s">
        <v>4791</v>
      </c>
      <c r="V136" s="483"/>
      <c r="AA136" t="s">
        <v>3913</v>
      </c>
    </row>
    <row r="137" spans="1:27" x14ac:dyDescent="0.35">
      <c r="A137" s="327" t="s">
        <v>582</v>
      </c>
      <c r="B137" t="s">
        <v>583</v>
      </c>
      <c r="C137" s="327" t="s">
        <v>3246</v>
      </c>
      <c r="D137" s="327" t="str">
        <f t="shared" si="4"/>
        <v>NACE C - 12.0 Manufacture of tobacco products</v>
      </c>
      <c r="E137" s="325" t="s">
        <v>584</v>
      </c>
      <c r="F137" t="s">
        <v>585</v>
      </c>
      <c r="G137" t="str">
        <f t="shared" si="5"/>
        <v>LT</v>
      </c>
      <c r="H137" s="483"/>
      <c r="K137" t="s">
        <v>4792</v>
      </c>
      <c r="V137" s="482"/>
      <c r="AA137" t="s">
        <v>3914</v>
      </c>
    </row>
    <row r="138" spans="1:27" x14ac:dyDescent="0.35">
      <c r="A138" s="328" t="s">
        <v>586</v>
      </c>
      <c r="B138" t="s">
        <v>587</v>
      </c>
      <c r="C138" s="327" t="s">
        <v>3247</v>
      </c>
      <c r="D138" s="328" t="str">
        <f t="shared" si="4"/>
        <v>NACE C - 12.00 Manufacture of tobacco products</v>
      </c>
      <c r="E138" s="325" t="s">
        <v>588</v>
      </c>
      <c r="F138" t="s">
        <v>589</v>
      </c>
      <c r="G138" t="str">
        <f t="shared" si="5"/>
        <v>LU</v>
      </c>
      <c r="H138" s="482"/>
      <c r="K138" t="s">
        <v>4793</v>
      </c>
      <c r="V138" s="483"/>
      <c r="AA138" t="s">
        <v>3915</v>
      </c>
    </row>
    <row r="139" spans="1:27" x14ac:dyDescent="0.35">
      <c r="A139" s="324" t="s">
        <v>590</v>
      </c>
      <c r="B139" t="s">
        <v>591</v>
      </c>
      <c r="C139" s="327" t="s">
        <v>3248</v>
      </c>
      <c r="D139" s="324" t="str">
        <f t="shared" si="4"/>
        <v>NACE C - 13 Manufacture of textiles</v>
      </c>
      <c r="E139" s="325" t="s">
        <v>592</v>
      </c>
      <c r="F139" t="s">
        <v>593</v>
      </c>
      <c r="G139" t="str">
        <f t="shared" si="5"/>
        <v>LV</v>
      </c>
      <c r="H139" s="483"/>
      <c r="K139" t="s">
        <v>4794</v>
      </c>
      <c r="V139" s="90"/>
      <c r="AA139" t="s">
        <v>3916</v>
      </c>
    </row>
    <row r="140" spans="1:27" x14ac:dyDescent="0.35">
      <c r="A140" s="327" t="s">
        <v>594</v>
      </c>
      <c r="B140" t="s">
        <v>595</v>
      </c>
      <c r="C140" s="327" t="s">
        <v>3249</v>
      </c>
      <c r="D140" s="327" t="str">
        <f t="shared" si="4"/>
        <v>NACE C - 13.1 Preparation and spinning of textile fibres</v>
      </c>
      <c r="E140" s="325" t="s">
        <v>596</v>
      </c>
      <c r="F140" t="s">
        <v>597</v>
      </c>
      <c r="G140" t="str">
        <f t="shared" si="5"/>
        <v>LY</v>
      </c>
      <c r="H140" s="90"/>
      <c r="K140" t="s">
        <v>4795</v>
      </c>
      <c r="V140" s="483"/>
      <c r="AA140" t="s">
        <v>3917</v>
      </c>
    </row>
    <row r="141" spans="1:27" x14ac:dyDescent="0.35">
      <c r="A141" s="328" t="s">
        <v>598</v>
      </c>
      <c r="B141" t="s">
        <v>599</v>
      </c>
      <c r="C141" s="324" t="s">
        <v>3250</v>
      </c>
      <c r="D141" s="328" t="str">
        <f t="shared" si="4"/>
        <v>NACE C - 13.10 Preparation and spinning of textile fibres</v>
      </c>
      <c r="E141" s="325" t="s">
        <v>600</v>
      </c>
      <c r="F141" t="s">
        <v>601</v>
      </c>
      <c r="G141" t="str">
        <f t="shared" si="5"/>
        <v>MA</v>
      </c>
      <c r="H141" s="483"/>
      <c r="K141" t="s">
        <v>4796</v>
      </c>
      <c r="V141" s="483"/>
      <c r="AA141" t="s">
        <v>3918</v>
      </c>
    </row>
    <row r="142" spans="1:27" x14ac:dyDescent="0.35">
      <c r="A142" s="327" t="s">
        <v>602</v>
      </c>
      <c r="B142" t="s">
        <v>603</v>
      </c>
      <c r="C142" s="327" t="s">
        <v>3251</v>
      </c>
      <c r="D142" s="327" t="str">
        <f t="shared" si="4"/>
        <v>NACE C - 13.2 Weaving of textiles</v>
      </c>
      <c r="E142" s="325" t="s">
        <v>604</v>
      </c>
      <c r="F142" t="s">
        <v>605</v>
      </c>
      <c r="G142" t="str">
        <f t="shared" si="5"/>
        <v>MC</v>
      </c>
      <c r="H142" s="483"/>
      <c r="K142" t="s">
        <v>4797</v>
      </c>
      <c r="V142" s="482"/>
      <c r="AA142" t="s">
        <v>3919</v>
      </c>
    </row>
    <row r="143" spans="1:27" x14ac:dyDescent="0.35">
      <c r="A143" s="328" t="s">
        <v>606</v>
      </c>
      <c r="B143" t="s">
        <v>607</v>
      </c>
      <c r="C143" s="324" t="s">
        <v>3252</v>
      </c>
      <c r="D143" s="328" t="str">
        <f t="shared" si="4"/>
        <v>NACE C - 13.20 Weaving of textiles</v>
      </c>
      <c r="E143" s="325" t="s">
        <v>608</v>
      </c>
      <c r="F143" t="s">
        <v>609</v>
      </c>
      <c r="G143" t="str">
        <f t="shared" si="5"/>
        <v>MD</v>
      </c>
      <c r="H143" s="482"/>
      <c r="K143" t="s">
        <v>4798</v>
      </c>
      <c r="V143" s="483"/>
      <c r="AA143" t="s">
        <v>3920</v>
      </c>
    </row>
    <row r="144" spans="1:27" x14ac:dyDescent="0.35">
      <c r="A144" s="327" t="s">
        <v>610</v>
      </c>
      <c r="B144" t="s">
        <v>611</v>
      </c>
      <c r="C144" s="327" t="s">
        <v>3253</v>
      </c>
      <c r="D144" s="327" t="str">
        <f t="shared" si="4"/>
        <v>NACE C - 13.3 Finishing of textiles</v>
      </c>
      <c r="E144" s="325" t="s">
        <v>612</v>
      </c>
      <c r="F144" t="s">
        <v>613</v>
      </c>
      <c r="G144" t="str">
        <f t="shared" si="5"/>
        <v>ME</v>
      </c>
      <c r="H144" s="483"/>
      <c r="K144" t="s">
        <v>4799</v>
      </c>
      <c r="V144" s="483"/>
      <c r="AA144" t="s">
        <v>3921</v>
      </c>
    </row>
    <row r="145" spans="1:27" x14ac:dyDescent="0.35">
      <c r="A145" s="328" t="s">
        <v>614</v>
      </c>
      <c r="B145" t="s">
        <v>615</v>
      </c>
      <c r="C145" s="327" t="s">
        <v>3254</v>
      </c>
      <c r="D145" s="328" t="str">
        <f t="shared" si="4"/>
        <v>NACE C - 13.30 Finishing of textiles</v>
      </c>
      <c r="E145" s="325" t="s">
        <v>616</v>
      </c>
      <c r="F145" t="s">
        <v>617</v>
      </c>
      <c r="G145" t="str">
        <f t="shared" si="5"/>
        <v>MF</v>
      </c>
      <c r="H145" s="483"/>
      <c r="K145" t="s">
        <v>4800</v>
      </c>
      <c r="V145" s="482"/>
      <c r="AA145" t="s">
        <v>3922</v>
      </c>
    </row>
    <row r="146" spans="1:27" x14ac:dyDescent="0.35">
      <c r="A146" s="327" t="s">
        <v>618</v>
      </c>
      <c r="B146" t="s">
        <v>619</v>
      </c>
      <c r="C146" s="327" t="s">
        <v>3255</v>
      </c>
      <c r="D146" s="327" t="str">
        <f t="shared" si="4"/>
        <v>NACE C - 13.9 Manufacture of other textiles</v>
      </c>
      <c r="E146" s="325" t="s">
        <v>620</v>
      </c>
      <c r="F146" t="s">
        <v>621</v>
      </c>
      <c r="G146" t="str">
        <f t="shared" si="5"/>
        <v>MG</v>
      </c>
      <c r="H146" s="482"/>
      <c r="K146" t="s">
        <v>4801</v>
      </c>
      <c r="V146" s="90"/>
      <c r="AA146" t="s">
        <v>3923</v>
      </c>
    </row>
    <row r="147" spans="1:27" x14ac:dyDescent="0.35">
      <c r="A147" s="328" t="s">
        <v>622</v>
      </c>
      <c r="B147" t="s">
        <v>623</v>
      </c>
      <c r="C147" s="327" t="s">
        <v>3256</v>
      </c>
      <c r="D147" s="328" t="str">
        <f t="shared" si="4"/>
        <v>NACE C - 13.91 Manufacture of knitted and crocheted fabrics</v>
      </c>
      <c r="E147" s="325" t="s">
        <v>624</v>
      </c>
      <c r="F147" t="s">
        <v>625</v>
      </c>
      <c r="G147" t="str">
        <f t="shared" si="5"/>
        <v>MH</v>
      </c>
      <c r="H147" s="90"/>
      <c r="K147" t="s">
        <v>4802</v>
      </c>
      <c r="V147" s="483"/>
      <c r="AA147" t="s">
        <v>3924</v>
      </c>
    </row>
    <row r="148" spans="1:27" x14ac:dyDescent="0.35">
      <c r="A148" s="328" t="s">
        <v>626</v>
      </c>
      <c r="B148" t="s">
        <v>627</v>
      </c>
      <c r="C148" s="327" t="s">
        <v>3257</v>
      </c>
      <c r="D148" s="328" t="str">
        <f t="shared" si="4"/>
        <v>NACE C - 13.92 Manufacture of household textiles and made-up furnishing articles</v>
      </c>
      <c r="E148" s="325" t="s">
        <v>628</v>
      </c>
      <c r="F148" t="s">
        <v>629</v>
      </c>
      <c r="G148" t="str">
        <f t="shared" si="5"/>
        <v>MK</v>
      </c>
      <c r="H148" s="483"/>
      <c r="K148" t="s">
        <v>4803</v>
      </c>
      <c r="V148" s="483"/>
      <c r="AA148" t="s">
        <v>3925</v>
      </c>
    </row>
    <row r="149" spans="1:27" x14ac:dyDescent="0.35">
      <c r="A149" s="328" t="s">
        <v>630</v>
      </c>
      <c r="B149" t="s">
        <v>631</v>
      </c>
      <c r="C149" s="327" t="s">
        <v>3258</v>
      </c>
      <c r="D149" s="328" t="str">
        <f t="shared" si="4"/>
        <v>NACE C - 13.93 Manufacture of carpets and rugs</v>
      </c>
      <c r="E149" s="325" t="s">
        <v>632</v>
      </c>
      <c r="F149" t="s">
        <v>633</v>
      </c>
      <c r="G149" t="str">
        <f t="shared" si="5"/>
        <v>ML</v>
      </c>
      <c r="H149" s="483"/>
      <c r="K149" t="s">
        <v>4804</v>
      </c>
      <c r="V149" s="483"/>
      <c r="AA149" t="s">
        <v>3926</v>
      </c>
    </row>
    <row r="150" spans="1:27" x14ac:dyDescent="0.35">
      <c r="A150" s="328" t="s">
        <v>634</v>
      </c>
      <c r="B150" t="s">
        <v>635</v>
      </c>
      <c r="C150" s="324" t="s">
        <v>3259</v>
      </c>
      <c r="D150" s="328" t="str">
        <f t="shared" si="4"/>
        <v>NACE C - 13.94 Manufacture of cordage, rope, twine and netting</v>
      </c>
      <c r="E150" s="325" t="s">
        <v>636</v>
      </c>
      <c r="F150" t="s">
        <v>637</v>
      </c>
      <c r="G150" t="str">
        <f t="shared" si="5"/>
        <v>MM</v>
      </c>
      <c r="H150" s="483"/>
      <c r="K150" t="s">
        <v>4805</v>
      </c>
      <c r="V150" s="482"/>
      <c r="AA150" t="s">
        <v>3927</v>
      </c>
    </row>
    <row r="151" spans="1:27" x14ac:dyDescent="0.35">
      <c r="A151" s="328" t="s">
        <v>638</v>
      </c>
      <c r="B151" t="s">
        <v>639</v>
      </c>
      <c r="C151" s="327" t="s">
        <v>3260</v>
      </c>
      <c r="D151" s="328" t="str">
        <f t="shared" si="4"/>
        <v>NACE C - 13.95 Manufacture of non-wovens and non-woven articles</v>
      </c>
      <c r="E151" s="325" t="s">
        <v>640</v>
      </c>
      <c r="F151" t="s">
        <v>641</v>
      </c>
      <c r="G151" t="str">
        <f t="shared" si="5"/>
        <v>MN</v>
      </c>
      <c r="H151" s="482"/>
      <c r="K151" t="s">
        <v>4806</v>
      </c>
      <c r="V151" s="482"/>
      <c r="AA151" t="s">
        <v>3928</v>
      </c>
    </row>
    <row r="152" spans="1:27" x14ac:dyDescent="0.35">
      <c r="A152" s="328" t="s">
        <v>642</v>
      </c>
      <c r="B152" t="s">
        <v>643</v>
      </c>
      <c r="C152" s="327" t="s">
        <v>3261</v>
      </c>
      <c r="D152" s="328" t="str">
        <f t="shared" si="4"/>
        <v>NACE C - 13.96 Manufacture of other technical and industrial textiles</v>
      </c>
      <c r="E152" s="325" t="s">
        <v>644</v>
      </c>
      <c r="F152" t="s">
        <v>645</v>
      </c>
      <c r="G152" t="str">
        <f t="shared" si="5"/>
        <v>MO</v>
      </c>
      <c r="H152" s="482"/>
      <c r="K152" t="s">
        <v>4646</v>
      </c>
      <c r="V152" s="482"/>
      <c r="AA152" t="s">
        <v>3929</v>
      </c>
    </row>
    <row r="153" spans="1:27" x14ac:dyDescent="0.35">
      <c r="A153" s="328" t="s">
        <v>646</v>
      </c>
      <c r="B153" t="s">
        <v>647</v>
      </c>
      <c r="C153" s="325" t="s">
        <v>3144</v>
      </c>
      <c r="D153" s="328" t="str">
        <f t="shared" si="4"/>
        <v>NACE C - 13.99 Manufacture of other textiles n.e.c.</v>
      </c>
      <c r="E153" s="325" t="s">
        <v>648</v>
      </c>
      <c r="F153" t="s">
        <v>649</v>
      </c>
      <c r="G153" t="str">
        <f t="shared" si="5"/>
        <v>MP</v>
      </c>
      <c r="H153" s="482"/>
      <c r="K153" t="s">
        <v>4807</v>
      </c>
      <c r="V153" s="483"/>
      <c r="AA153" t="s">
        <v>3930</v>
      </c>
    </row>
    <row r="154" spans="1:27" x14ac:dyDescent="0.35">
      <c r="A154" s="324" t="s">
        <v>650</v>
      </c>
      <c r="B154" t="s">
        <v>651</v>
      </c>
      <c r="C154" s="324" t="s">
        <v>3263</v>
      </c>
      <c r="D154" s="324" t="str">
        <f t="shared" si="4"/>
        <v>NACE C - 14 Manufacture of wearing apparel</v>
      </c>
      <c r="E154" s="325" t="s">
        <v>652</v>
      </c>
      <c r="F154" t="s">
        <v>653</v>
      </c>
      <c r="G154" t="str">
        <f t="shared" si="5"/>
        <v>MQ</v>
      </c>
      <c r="H154" s="483"/>
      <c r="K154" t="s">
        <v>4808</v>
      </c>
      <c r="V154" s="483"/>
      <c r="AA154" t="s">
        <v>3931</v>
      </c>
    </row>
    <row r="155" spans="1:27" x14ac:dyDescent="0.35">
      <c r="A155" s="327" t="s">
        <v>654</v>
      </c>
      <c r="B155" t="s">
        <v>655</v>
      </c>
      <c r="C155" s="327" t="s">
        <v>3264</v>
      </c>
      <c r="D155" s="327" t="str">
        <f t="shared" si="4"/>
        <v>NACE C - 14.1 Manufacture of knitted and crocheted apparel</v>
      </c>
      <c r="E155" s="325" t="s">
        <v>656</v>
      </c>
      <c r="F155" t="s">
        <v>657</v>
      </c>
      <c r="G155" t="str">
        <f t="shared" si="5"/>
        <v>MR</v>
      </c>
      <c r="H155" s="483"/>
      <c r="K155" t="s">
        <v>4809</v>
      </c>
      <c r="V155" s="90"/>
      <c r="AA155" t="s">
        <v>3932</v>
      </c>
    </row>
    <row r="156" spans="1:27" x14ac:dyDescent="0.35">
      <c r="A156" s="328" t="s">
        <v>658</v>
      </c>
      <c r="B156" t="s">
        <v>659</v>
      </c>
      <c r="C156" s="327" t="s">
        <v>3265</v>
      </c>
      <c r="D156" s="328" t="str">
        <f t="shared" si="4"/>
        <v>NACE C - 14.10 Manufacture of knitted and crocheted apparel</v>
      </c>
      <c r="E156" s="325" t="s">
        <v>660</v>
      </c>
      <c r="F156" t="s">
        <v>661</v>
      </c>
      <c r="G156" t="str">
        <f t="shared" si="5"/>
        <v>MS</v>
      </c>
      <c r="H156" s="90"/>
      <c r="K156" t="s">
        <v>4810</v>
      </c>
      <c r="V156" s="483"/>
      <c r="AA156" t="s">
        <v>3933</v>
      </c>
    </row>
    <row r="157" spans="1:27" x14ac:dyDescent="0.35">
      <c r="A157" s="327" t="s">
        <v>662</v>
      </c>
      <c r="B157" t="s">
        <v>663</v>
      </c>
      <c r="C157" s="327" t="s">
        <v>3266</v>
      </c>
      <c r="D157" s="327" t="str">
        <f t="shared" si="4"/>
        <v>NACE C - 14.2 Manufacture of other wearing apparel and accessories</v>
      </c>
      <c r="E157" s="325" t="s">
        <v>664</v>
      </c>
      <c r="F157" t="s">
        <v>665</v>
      </c>
      <c r="G157" t="str">
        <f t="shared" si="5"/>
        <v>MT</v>
      </c>
      <c r="H157" s="483"/>
      <c r="K157" t="s">
        <v>4811</v>
      </c>
      <c r="V157" s="90"/>
      <c r="AA157" t="s">
        <v>3934</v>
      </c>
    </row>
    <row r="158" spans="1:27" x14ac:dyDescent="0.35">
      <c r="A158" s="328" t="s">
        <v>666</v>
      </c>
      <c r="B158" t="s">
        <v>667</v>
      </c>
      <c r="C158" s="327" t="s">
        <v>3267</v>
      </c>
      <c r="D158" s="328" t="str">
        <f t="shared" si="4"/>
        <v>NACE C - 14.21 Manufacture of outerwear</v>
      </c>
      <c r="E158" s="325" t="s">
        <v>668</v>
      </c>
      <c r="F158" t="s">
        <v>669</v>
      </c>
      <c r="G158" t="str">
        <f t="shared" si="5"/>
        <v>MU</v>
      </c>
      <c r="H158" s="90"/>
      <c r="K158" t="s">
        <v>4812</v>
      </c>
      <c r="V158" s="90"/>
      <c r="AA158" t="s">
        <v>3935</v>
      </c>
    </row>
    <row r="159" spans="1:27" x14ac:dyDescent="0.35">
      <c r="A159" s="328" t="s">
        <v>670</v>
      </c>
      <c r="B159" t="s">
        <v>671</v>
      </c>
      <c r="C159" s="325" t="s">
        <v>3262</v>
      </c>
      <c r="D159" s="328" t="str">
        <f t="shared" si="4"/>
        <v>NACE C - 14.22 Manufacture of underwear</v>
      </c>
      <c r="E159" s="325" t="s">
        <v>672</v>
      </c>
      <c r="F159" t="s">
        <v>673</v>
      </c>
      <c r="G159" t="str">
        <f t="shared" si="5"/>
        <v>MV</v>
      </c>
      <c r="H159" s="90"/>
      <c r="K159" t="s">
        <v>4813</v>
      </c>
      <c r="V159" s="90"/>
      <c r="AA159" t="s">
        <v>3936</v>
      </c>
    </row>
    <row r="160" spans="1:27" x14ac:dyDescent="0.35">
      <c r="A160" s="328" t="s">
        <v>674</v>
      </c>
      <c r="B160" t="s">
        <v>675</v>
      </c>
      <c r="C160" s="324" t="s">
        <v>3269</v>
      </c>
      <c r="D160" s="328" t="str">
        <f t="shared" si="4"/>
        <v>NACE C - 14.23 Manufacture of workwear</v>
      </c>
      <c r="E160" s="325" t="s">
        <v>676</v>
      </c>
      <c r="F160" t="s">
        <v>677</v>
      </c>
      <c r="G160" t="str">
        <f t="shared" si="5"/>
        <v>MW</v>
      </c>
      <c r="H160" s="90"/>
      <c r="K160" t="s">
        <v>4814</v>
      </c>
      <c r="V160" s="90"/>
      <c r="AA160" t="s">
        <v>3937</v>
      </c>
    </row>
    <row r="161" spans="1:27" x14ac:dyDescent="0.35">
      <c r="A161" s="328" t="s">
        <v>678</v>
      </c>
      <c r="B161" t="s">
        <v>679</v>
      </c>
      <c r="C161" s="327" t="s">
        <v>3270</v>
      </c>
      <c r="D161" s="328" t="str">
        <f t="shared" si="4"/>
        <v>NACE C - 14.24 Manufacture of leather clothes and fur apparel</v>
      </c>
      <c r="E161" s="325" t="s">
        <v>680</v>
      </c>
      <c r="F161" t="s">
        <v>681</v>
      </c>
      <c r="G161" t="str">
        <f t="shared" si="5"/>
        <v>MX</v>
      </c>
      <c r="H161" s="90"/>
      <c r="K161" t="s">
        <v>4815</v>
      </c>
      <c r="AA161" t="s">
        <v>3938</v>
      </c>
    </row>
    <row r="162" spans="1:27" x14ac:dyDescent="0.35">
      <c r="A162" s="328" t="s">
        <v>682</v>
      </c>
      <c r="B162" t="s">
        <v>683</v>
      </c>
      <c r="C162" s="324" t="s">
        <v>3271</v>
      </c>
      <c r="D162" s="328" t="str">
        <f t="shared" si="4"/>
        <v>NACE C - 14.29 Manufacture of other wearing apparel and accessories n.e.c.</v>
      </c>
      <c r="E162" s="325" t="s">
        <v>684</v>
      </c>
      <c r="F162" t="s">
        <v>685</v>
      </c>
      <c r="G162" t="str">
        <f t="shared" si="5"/>
        <v>MY</v>
      </c>
      <c r="K162" t="s">
        <v>4816</v>
      </c>
      <c r="AA162" t="s">
        <v>3939</v>
      </c>
    </row>
    <row r="163" spans="1:27" x14ac:dyDescent="0.35">
      <c r="A163" s="324" t="s">
        <v>686</v>
      </c>
      <c r="B163" t="s">
        <v>687</v>
      </c>
      <c r="C163" s="327" t="s">
        <v>3272</v>
      </c>
      <c r="D163" s="324" t="str">
        <f t="shared" si="4"/>
        <v>NACE C - 15 Manufacture of leather and related products of other materials</v>
      </c>
      <c r="E163" s="325" t="s">
        <v>688</v>
      </c>
      <c r="F163" t="s">
        <v>689</v>
      </c>
      <c r="G163" t="str">
        <f t="shared" si="5"/>
        <v>MZ</v>
      </c>
      <c r="K163" t="s">
        <v>4817</v>
      </c>
      <c r="AA163" t="s">
        <v>3940</v>
      </c>
    </row>
    <row r="164" spans="1:27" x14ac:dyDescent="0.35">
      <c r="A164" s="327" t="s">
        <v>690</v>
      </c>
      <c r="B164" t="s">
        <v>691</v>
      </c>
      <c r="C164" s="324" t="s">
        <v>3273</v>
      </c>
      <c r="D164" s="327" t="str">
        <f t="shared" si="4"/>
        <v>NACE C - 15.1 Tanning, dyeing, dressing of leather and fur; manufacture of luggage, handbags, saddlery and harness</v>
      </c>
      <c r="E164" s="325" t="s">
        <v>692</v>
      </c>
      <c r="F164" t="s">
        <v>693</v>
      </c>
      <c r="G164" t="str">
        <f t="shared" si="5"/>
        <v>NA</v>
      </c>
      <c r="K164" t="s">
        <v>4818</v>
      </c>
      <c r="AA164" t="s">
        <v>3941</v>
      </c>
    </row>
    <row r="165" spans="1:27" x14ac:dyDescent="0.35">
      <c r="A165" s="328" t="s">
        <v>694</v>
      </c>
      <c r="B165" t="s">
        <v>695</v>
      </c>
      <c r="C165" s="327" t="s">
        <v>3274</v>
      </c>
      <c r="D165" s="328" t="str">
        <f t="shared" si="4"/>
        <v>NACE C - 15.11 Tanning, dressing, dyeing of leather and fur</v>
      </c>
      <c r="E165" s="325" t="s">
        <v>696</v>
      </c>
      <c r="F165" t="s">
        <v>697</v>
      </c>
      <c r="G165" t="str">
        <f t="shared" si="5"/>
        <v>NC</v>
      </c>
      <c r="K165" t="s">
        <v>4819</v>
      </c>
      <c r="AA165" t="s">
        <v>3942</v>
      </c>
    </row>
    <row r="166" spans="1:27" x14ac:dyDescent="0.35">
      <c r="A166" s="328" t="s">
        <v>698</v>
      </c>
      <c r="B166" t="s">
        <v>699</v>
      </c>
      <c r="C166" s="327" t="s">
        <v>3275</v>
      </c>
      <c r="D166" s="328" t="str">
        <f t="shared" si="4"/>
        <v>NACE C - 15.12 Manufacture of luggage, handbags, saddlery and harness of any material</v>
      </c>
      <c r="E166" s="325" t="s">
        <v>700</v>
      </c>
      <c r="F166" t="s">
        <v>701</v>
      </c>
      <c r="G166" t="str">
        <f t="shared" si="5"/>
        <v>NE</v>
      </c>
      <c r="K166" t="s">
        <v>4820</v>
      </c>
      <c r="AA166" t="s">
        <v>3943</v>
      </c>
    </row>
    <row r="167" spans="1:27" x14ac:dyDescent="0.35">
      <c r="A167" s="327" t="s">
        <v>702</v>
      </c>
      <c r="B167" t="s">
        <v>703</v>
      </c>
      <c r="C167" s="327" t="s">
        <v>3276</v>
      </c>
      <c r="D167" s="327" t="str">
        <f t="shared" si="4"/>
        <v>NACE C - 15.2 Manufacture of footwear</v>
      </c>
      <c r="E167" s="325" t="s">
        <v>704</v>
      </c>
      <c r="F167" t="s">
        <v>705</v>
      </c>
      <c r="G167" t="str">
        <f t="shared" si="5"/>
        <v>NF</v>
      </c>
      <c r="K167" t="s">
        <v>4821</v>
      </c>
      <c r="AA167" t="s">
        <v>3944</v>
      </c>
    </row>
    <row r="168" spans="1:27" x14ac:dyDescent="0.35">
      <c r="A168" s="328" t="s">
        <v>706</v>
      </c>
      <c r="B168" t="s">
        <v>707</v>
      </c>
      <c r="C168" s="324" t="s">
        <v>3277</v>
      </c>
      <c r="D168" s="328" t="str">
        <f t="shared" si="4"/>
        <v>NACE C - 15.20 Manufacture of footwear</v>
      </c>
      <c r="E168" s="325" t="s">
        <v>708</v>
      </c>
      <c r="F168" t="s">
        <v>709</v>
      </c>
      <c r="G168" t="str">
        <f t="shared" si="5"/>
        <v>NG</v>
      </c>
      <c r="K168" t="s">
        <v>4822</v>
      </c>
      <c r="AA168" t="s">
        <v>3945</v>
      </c>
    </row>
    <row r="169" spans="1:27" x14ac:dyDescent="0.35">
      <c r="A169" s="324" t="s">
        <v>710</v>
      </c>
      <c r="B169" t="s">
        <v>711</v>
      </c>
      <c r="C169" s="327" t="s">
        <v>3278</v>
      </c>
      <c r="D169" s="324" t="str">
        <f t="shared" si="4"/>
        <v>NACE C - 16 Manufacture of wood and of products of wood and cork, except furniture; manufacture of articles of straw and plaiting materials</v>
      </c>
      <c r="E169" s="325" t="s">
        <v>712</v>
      </c>
      <c r="F169" t="s">
        <v>713</v>
      </c>
      <c r="G169" t="str">
        <f t="shared" si="5"/>
        <v>NI</v>
      </c>
      <c r="K169" t="s">
        <v>4823</v>
      </c>
      <c r="AA169" t="s">
        <v>3946</v>
      </c>
    </row>
    <row r="170" spans="1:27" x14ac:dyDescent="0.35">
      <c r="A170" s="327" t="s">
        <v>714</v>
      </c>
      <c r="B170" t="s">
        <v>715</v>
      </c>
      <c r="C170" s="325" t="s">
        <v>3268</v>
      </c>
      <c r="D170" s="327" t="str">
        <f t="shared" si="4"/>
        <v>NACE C - 16.1 Sawmilling and planing of wood; processing and finishing of wood</v>
      </c>
      <c r="E170" s="325" t="s">
        <v>716</v>
      </c>
      <c r="F170" t="s">
        <v>717</v>
      </c>
      <c r="G170" t="str">
        <f t="shared" si="5"/>
        <v>NL</v>
      </c>
      <c r="K170" t="s">
        <v>4824</v>
      </c>
      <c r="AA170" t="s">
        <v>3947</v>
      </c>
    </row>
    <row r="171" spans="1:27" x14ac:dyDescent="0.35">
      <c r="A171" s="328" t="s">
        <v>718</v>
      </c>
      <c r="B171" t="s">
        <v>719</v>
      </c>
      <c r="C171" s="324" t="s">
        <v>3280</v>
      </c>
      <c r="D171" s="328" t="str">
        <f t="shared" si="4"/>
        <v>NACE C - 16.11 Sawmilling and planing of wood</v>
      </c>
      <c r="E171" s="325" t="s">
        <v>720</v>
      </c>
      <c r="F171" t="s">
        <v>721</v>
      </c>
      <c r="G171" t="str">
        <f t="shared" si="5"/>
        <v>NO</v>
      </c>
      <c r="K171" t="s">
        <v>4825</v>
      </c>
    </row>
    <row r="172" spans="1:27" x14ac:dyDescent="0.35">
      <c r="A172" s="328" t="s">
        <v>722</v>
      </c>
      <c r="B172" t="s">
        <v>723</v>
      </c>
      <c r="C172" s="327" t="s">
        <v>3281</v>
      </c>
      <c r="D172" s="328" t="str">
        <f t="shared" si="4"/>
        <v>NACE C - 16.12 Processing and finishing of wood</v>
      </c>
      <c r="E172" s="325" t="s">
        <v>724</v>
      </c>
      <c r="F172" t="s">
        <v>725</v>
      </c>
      <c r="G172" t="str">
        <f t="shared" si="5"/>
        <v>NP</v>
      </c>
      <c r="K172" t="s">
        <v>4826</v>
      </c>
    </row>
    <row r="173" spans="1:27" x14ac:dyDescent="0.35">
      <c r="A173" s="327" t="s">
        <v>726</v>
      </c>
      <c r="B173" t="s">
        <v>727</v>
      </c>
      <c r="C173" s="324" t="s">
        <v>3282</v>
      </c>
      <c r="D173" s="327" t="str">
        <f t="shared" si="4"/>
        <v>NACE C - 16.2 Manufacture of products of wood, cork, straw and plaiting materials</v>
      </c>
      <c r="E173" s="325" t="s">
        <v>728</v>
      </c>
      <c r="F173" t="s">
        <v>729</v>
      </c>
      <c r="G173" t="str">
        <f t="shared" si="5"/>
        <v>NR</v>
      </c>
      <c r="K173" t="s">
        <v>4827</v>
      </c>
    </row>
    <row r="174" spans="1:27" x14ac:dyDescent="0.35">
      <c r="A174" s="328" t="s">
        <v>730</v>
      </c>
      <c r="B174" t="s">
        <v>731</v>
      </c>
      <c r="C174" s="327" t="s">
        <v>3283</v>
      </c>
      <c r="D174" s="328" t="str">
        <f t="shared" si="4"/>
        <v>NACE C - 16.21 Manufacture of veneer sheets and wood-based panels</v>
      </c>
      <c r="E174" s="325" t="s">
        <v>732</v>
      </c>
      <c r="F174" t="s">
        <v>733</v>
      </c>
      <c r="G174" t="str">
        <f t="shared" si="5"/>
        <v>NT</v>
      </c>
      <c r="K174" t="s">
        <v>4828</v>
      </c>
    </row>
    <row r="175" spans="1:27" x14ac:dyDescent="0.35">
      <c r="A175" s="328" t="s">
        <v>734</v>
      </c>
      <c r="B175" t="s">
        <v>735</v>
      </c>
      <c r="C175" s="327" t="s">
        <v>3284</v>
      </c>
      <c r="D175" s="328" t="str">
        <f t="shared" si="4"/>
        <v>NACE C - 16.22 Manufacture of assembled parquet floors</v>
      </c>
      <c r="E175" s="325" t="s">
        <v>736</v>
      </c>
      <c r="F175" t="s">
        <v>737</v>
      </c>
      <c r="G175" t="str">
        <f t="shared" si="5"/>
        <v>NU</v>
      </c>
      <c r="K175" t="s">
        <v>4829</v>
      </c>
    </row>
    <row r="176" spans="1:27" x14ac:dyDescent="0.35">
      <c r="A176" s="328" t="s">
        <v>738</v>
      </c>
      <c r="B176" t="s">
        <v>739</v>
      </c>
      <c r="C176" s="327" t="s">
        <v>3285</v>
      </c>
      <c r="D176" s="328" t="str">
        <f t="shared" si="4"/>
        <v>NACE C - 16.23 Manufacture of other builders’ carpentry and joinery</v>
      </c>
      <c r="E176" s="325" t="s">
        <v>740</v>
      </c>
      <c r="F176" t="s">
        <v>741</v>
      </c>
      <c r="G176" t="str">
        <f t="shared" si="5"/>
        <v>NZ</v>
      </c>
      <c r="K176" t="s">
        <v>4830</v>
      </c>
    </row>
    <row r="177" spans="1:11" x14ac:dyDescent="0.35">
      <c r="A177" s="328" t="s">
        <v>742</v>
      </c>
      <c r="B177" t="s">
        <v>743</v>
      </c>
      <c r="C177" s="324" t="s">
        <v>3286</v>
      </c>
      <c r="D177" s="328" t="str">
        <f t="shared" si="4"/>
        <v>NACE C - 16.24 Manufacture of wooden containers</v>
      </c>
      <c r="E177" s="325" t="s">
        <v>744</v>
      </c>
      <c r="F177" t="s">
        <v>745</v>
      </c>
      <c r="G177" t="str">
        <f t="shared" si="5"/>
        <v>OM</v>
      </c>
      <c r="K177" t="s">
        <v>4831</v>
      </c>
    </row>
    <row r="178" spans="1:11" x14ac:dyDescent="0.35">
      <c r="A178" s="328" t="s">
        <v>746</v>
      </c>
      <c r="B178" t="s">
        <v>747</v>
      </c>
      <c r="C178" s="327" t="s">
        <v>3287</v>
      </c>
      <c r="D178" s="328" t="str">
        <f t="shared" si="4"/>
        <v>NACE C - 16.25 Manufacture of doors and windows of wood</v>
      </c>
      <c r="E178" s="325" t="s">
        <v>748</v>
      </c>
      <c r="F178" t="s">
        <v>749</v>
      </c>
      <c r="G178" t="str">
        <f t="shared" si="5"/>
        <v>PA</v>
      </c>
      <c r="K178" t="s">
        <v>4832</v>
      </c>
    </row>
    <row r="179" spans="1:11" x14ac:dyDescent="0.35">
      <c r="A179" s="328" t="s">
        <v>750</v>
      </c>
      <c r="B179" t="s">
        <v>751</v>
      </c>
      <c r="C179" s="327" t="s">
        <v>3288</v>
      </c>
      <c r="D179" s="328" t="str">
        <f t="shared" si="4"/>
        <v>NACE C - 16.26 Manufacture of solid fuels from vegetable biomass</v>
      </c>
      <c r="E179" s="325" t="s">
        <v>752</v>
      </c>
      <c r="F179" t="s">
        <v>753</v>
      </c>
      <c r="G179" t="str">
        <f t="shared" si="5"/>
        <v>PE</v>
      </c>
      <c r="K179" t="s">
        <v>4833</v>
      </c>
    </row>
    <row r="180" spans="1:11" x14ac:dyDescent="0.35">
      <c r="A180" s="328" t="s">
        <v>754</v>
      </c>
      <c r="B180" t="s">
        <v>755</v>
      </c>
      <c r="C180" s="327" t="s">
        <v>3289</v>
      </c>
      <c r="D180" s="328" t="str">
        <f t="shared" si="4"/>
        <v>NACE C - 16.27 Finishing of wooden products</v>
      </c>
      <c r="E180" s="325" t="s">
        <v>756</v>
      </c>
      <c r="F180" t="s">
        <v>757</v>
      </c>
      <c r="G180" t="str">
        <f t="shared" si="5"/>
        <v>PF</v>
      </c>
      <c r="K180" t="s">
        <v>4834</v>
      </c>
    </row>
    <row r="181" spans="1:11" x14ac:dyDescent="0.35">
      <c r="A181" s="328" t="s">
        <v>758</v>
      </c>
      <c r="B181" t="s">
        <v>759</v>
      </c>
      <c r="C181" s="327" t="s">
        <v>3290</v>
      </c>
      <c r="D181" s="328" t="str">
        <f t="shared" si="4"/>
        <v>NACE C - 16.28 Manufacture of other products of wood and articles of cork, straw and plaiting materials</v>
      </c>
      <c r="E181" s="325" t="s">
        <v>760</v>
      </c>
      <c r="F181" t="s">
        <v>761</v>
      </c>
      <c r="G181" t="str">
        <f t="shared" si="5"/>
        <v>PG</v>
      </c>
      <c r="K181" t="s">
        <v>4835</v>
      </c>
    </row>
    <row r="182" spans="1:11" x14ac:dyDescent="0.35">
      <c r="A182" s="324" t="s">
        <v>762</v>
      </c>
      <c r="B182" t="s">
        <v>763</v>
      </c>
      <c r="C182" s="327" t="s">
        <v>3291</v>
      </c>
      <c r="D182" s="324" t="str">
        <f t="shared" si="4"/>
        <v>NACE C - 17 Manufacture of paper and paper products</v>
      </c>
      <c r="E182" s="325" t="s">
        <v>764</v>
      </c>
      <c r="F182" t="s">
        <v>765</v>
      </c>
      <c r="G182" t="str">
        <f t="shared" si="5"/>
        <v>PH</v>
      </c>
      <c r="K182" t="s">
        <v>4836</v>
      </c>
    </row>
    <row r="183" spans="1:11" x14ac:dyDescent="0.35">
      <c r="A183" s="327" t="s">
        <v>766</v>
      </c>
      <c r="B183" t="s">
        <v>767</v>
      </c>
      <c r="C183" s="327" t="s">
        <v>3292</v>
      </c>
      <c r="D183" s="327" t="str">
        <f t="shared" si="4"/>
        <v>NACE C - 17.1 Manufacture of pulp, paper and paperboard</v>
      </c>
      <c r="E183" s="325" t="s">
        <v>768</v>
      </c>
      <c r="F183" t="s">
        <v>769</v>
      </c>
      <c r="G183" t="str">
        <f t="shared" si="5"/>
        <v>PK</v>
      </c>
      <c r="K183" t="s">
        <v>4837</v>
      </c>
    </row>
    <row r="184" spans="1:11" x14ac:dyDescent="0.35">
      <c r="A184" s="328" t="s">
        <v>770</v>
      </c>
      <c r="B184" t="s">
        <v>771</v>
      </c>
      <c r="C184" s="327" t="s">
        <v>3293</v>
      </c>
      <c r="D184" s="328" t="str">
        <f t="shared" si="4"/>
        <v>NACE C - 17.11 Manufacture of pulp</v>
      </c>
      <c r="E184" s="325" t="s">
        <v>772</v>
      </c>
      <c r="F184" t="s">
        <v>773</v>
      </c>
      <c r="G184" t="str">
        <f t="shared" si="5"/>
        <v>PL</v>
      </c>
      <c r="K184" t="s">
        <v>4838</v>
      </c>
    </row>
    <row r="185" spans="1:11" x14ac:dyDescent="0.35">
      <c r="A185" s="328" t="s">
        <v>774</v>
      </c>
      <c r="B185" t="s">
        <v>775</v>
      </c>
      <c r="C185" s="325" t="s">
        <v>3279</v>
      </c>
      <c r="D185" s="328" t="str">
        <f t="shared" si="4"/>
        <v>NACE C - 17.12 Manufacture of paper and paperboard</v>
      </c>
      <c r="E185" s="325" t="s">
        <v>776</v>
      </c>
      <c r="F185" t="s">
        <v>777</v>
      </c>
      <c r="G185" t="str">
        <f t="shared" si="5"/>
        <v>PM</v>
      </c>
      <c r="K185" t="s">
        <v>4839</v>
      </c>
    </row>
    <row r="186" spans="1:11" x14ac:dyDescent="0.35">
      <c r="A186" s="327" t="s">
        <v>778</v>
      </c>
      <c r="B186" t="s">
        <v>779</v>
      </c>
      <c r="C186" s="324" t="s">
        <v>3295</v>
      </c>
      <c r="D186" s="327" t="str">
        <f t="shared" si="4"/>
        <v>NACE C - 17.2 Manufacture of articles of paper and paperboard</v>
      </c>
      <c r="E186" s="325" t="s">
        <v>780</v>
      </c>
      <c r="F186" t="s">
        <v>781</v>
      </c>
      <c r="G186" t="str">
        <f t="shared" si="5"/>
        <v>PN</v>
      </c>
      <c r="K186" t="s">
        <v>4840</v>
      </c>
    </row>
    <row r="187" spans="1:11" x14ac:dyDescent="0.35">
      <c r="A187" s="328" t="s">
        <v>782</v>
      </c>
      <c r="B187" t="s">
        <v>783</v>
      </c>
      <c r="C187" s="327" t="s">
        <v>3296</v>
      </c>
      <c r="D187" s="328" t="str">
        <f t="shared" si="4"/>
        <v>NACE C - 17.21 Manufacture of corrugated paper, paperboard and containers of paper and paperboard</v>
      </c>
      <c r="E187" s="325" t="s">
        <v>784</v>
      </c>
      <c r="F187" t="s">
        <v>785</v>
      </c>
      <c r="G187" t="str">
        <f t="shared" si="5"/>
        <v>PR</v>
      </c>
      <c r="K187" t="s">
        <v>4841</v>
      </c>
    </row>
    <row r="188" spans="1:11" x14ac:dyDescent="0.35">
      <c r="A188" s="328" t="s">
        <v>786</v>
      </c>
      <c r="B188" t="s">
        <v>787</v>
      </c>
      <c r="C188" s="327" t="s">
        <v>3297</v>
      </c>
      <c r="D188" s="328" t="str">
        <f t="shared" si="4"/>
        <v>NACE C - 17.22 Manufacture of household and sanitary goods and of toilet requisites</v>
      </c>
      <c r="E188" s="325" t="s">
        <v>788</v>
      </c>
      <c r="F188" t="s">
        <v>789</v>
      </c>
      <c r="G188" t="str">
        <f t="shared" si="5"/>
        <v>PS</v>
      </c>
      <c r="K188" t="s">
        <v>4842</v>
      </c>
    </row>
    <row r="189" spans="1:11" x14ac:dyDescent="0.35">
      <c r="A189" s="328" t="s">
        <v>790</v>
      </c>
      <c r="B189" t="s">
        <v>791</v>
      </c>
      <c r="C189" s="327" t="s">
        <v>3298</v>
      </c>
      <c r="D189" s="328" t="str">
        <f t="shared" si="4"/>
        <v>NACE C - 17.23 Manufacture of paper stationery</v>
      </c>
      <c r="E189" s="325" t="s">
        <v>792</v>
      </c>
      <c r="F189" t="s">
        <v>793</v>
      </c>
      <c r="G189" t="str">
        <f t="shared" si="5"/>
        <v>PT</v>
      </c>
      <c r="K189" t="s">
        <v>4843</v>
      </c>
    </row>
    <row r="190" spans="1:11" x14ac:dyDescent="0.35">
      <c r="A190" s="328" t="s">
        <v>794</v>
      </c>
      <c r="B190" t="s">
        <v>795</v>
      </c>
      <c r="C190" s="327" t="s">
        <v>3299</v>
      </c>
      <c r="D190" s="328" t="str">
        <f t="shared" si="4"/>
        <v>NACE C - 17.24 Manufacture of wallpaper</v>
      </c>
      <c r="E190" s="325" t="s">
        <v>796</v>
      </c>
      <c r="F190" t="s">
        <v>797</v>
      </c>
      <c r="G190" t="str">
        <f t="shared" si="5"/>
        <v>PW</v>
      </c>
      <c r="K190" t="s">
        <v>4844</v>
      </c>
    </row>
    <row r="191" spans="1:11" x14ac:dyDescent="0.35">
      <c r="A191" s="328" t="s">
        <v>798</v>
      </c>
      <c r="B191" t="s">
        <v>799</v>
      </c>
      <c r="C191" s="327" t="s">
        <v>3300</v>
      </c>
      <c r="D191" s="328" t="str">
        <f t="shared" si="4"/>
        <v>NACE C - 17.25 Manufacture of other articles of paper and paperboard</v>
      </c>
      <c r="E191" s="325" t="s">
        <v>800</v>
      </c>
      <c r="F191" t="s">
        <v>801</v>
      </c>
      <c r="G191" t="str">
        <f t="shared" si="5"/>
        <v>PY</v>
      </c>
      <c r="K191" t="s">
        <v>4845</v>
      </c>
    </row>
    <row r="192" spans="1:11" x14ac:dyDescent="0.35">
      <c r="A192" s="324" t="s">
        <v>802</v>
      </c>
      <c r="B192" t="s">
        <v>803</v>
      </c>
      <c r="C192" s="327" t="s">
        <v>3301</v>
      </c>
      <c r="D192" s="324" t="str">
        <f t="shared" si="4"/>
        <v>NACE C - 18 Printing and reproduction of recorded media</v>
      </c>
      <c r="E192" s="325" t="s">
        <v>804</v>
      </c>
      <c r="F192" t="s">
        <v>805</v>
      </c>
      <c r="G192" t="str">
        <f t="shared" si="5"/>
        <v>QA</v>
      </c>
      <c r="K192" t="s">
        <v>4846</v>
      </c>
    </row>
    <row r="193" spans="1:11" x14ac:dyDescent="0.35">
      <c r="A193" s="327" t="s">
        <v>806</v>
      </c>
      <c r="B193" t="s">
        <v>807</v>
      </c>
      <c r="C193" s="327" t="s">
        <v>3302</v>
      </c>
      <c r="D193" s="327" t="str">
        <f t="shared" si="4"/>
        <v>NACE C - 18.1 Printing and service activities related to printing</v>
      </c>
      <c r="E193" s="325" t="s">
        <v>808</v>
      </c>
      <c r="F193" t="s">
        <v>809</v>
      </c>
      <c r="G193" t="str">
        <f t="shared" si="5"/>
        <v>RE</v>
      </c>
      <c r="K193" t="s">
        <v>4847</v>
      </c>
    </row>
    <row r="194" spans="1:11" x14ac:dyDescent="0.35">
      <c r="A194" s="328" t="s">
        <v>810</v>
      </c>
      <c r="B194" t="s">
        <v>811</v>
      </c>
      <c r="C194" s="327" t="s">
        <v>3303</v>
      </c>
      <c r="D194" s="328" t="str">
        <f t="shared" ref="D194:D257" si="6">_xlfn.CONCAT("NACE ", A194)</f>
        <v>NACE C - 18.11 Printing of newspapers</v>
      </c>
      <c r="E194" s="325" t="s">
        <v>812</v>
      </c>
      <c r="F194" t="s">
        <v>813</v>
      </c>
      <c r="G194" t="str">
        <f t="shared" si="5"/>
        <v>RO</v>
      </c>
      <c r="K194" t="s">
        <v>4848</v>
      </c>
    </row>
    <row r="195" spans="1:11" x14ac:dyDescent="0.35">
      <c r="A195" s="328" t="s">
        <v>814</v>
      </c>
      <c r="B195" t="s">
        <v>815</v>
      </c>
      <c r="C195" s="327" t="s">
        <v>3304</v>
      </c>
      <c r="D195" s="328" t="str">
        <f t="shared" si="6"/>
        <v>NACE C - 18.12 Other printing</v>
      </c>
      <c r="E195" s="325" t="s">
        <v>816</v>
      </c>
      <c r="F195" t="s">
        <v>817</v>
      </c>
      <c r="G195" t="str">
        <f t="shared" ref="G195:G257" si="7">RIGHT(F195,2)</f>
        <v>RS</v>
      </c>
      <c r="K195" t="s">
        <v>4849</v>
      </c>
    </row>
    <row r="196" spans="1:11" x14ac:dyDescent="0.35">
      <c r="A196" s="328" t="s">
        <v>818</v>
      </c>
      <c r="B196" t="s">
        <v>819</v>
      </c>
      <c r="C196" s="324" t="s">
        <v>3305</v>
      </c>
      <c r="D196" s="328" t="str">
        <f t="shared" si="6"/>
        <v>NACE C - 18.13 Pre-press and pre-media services</v>
      </c>
      <c r="E196" s="325" t="s">
        <v>820</v>
      </c>
      <c r="F196" t="s">
        <v>821</v>
      </c>
      <c r="G196" t="str">
        <f t="shared" si="7"/>
        <v>RU</v>
      </c>
      <c r="K196" t="s">
        <v>4850</v>
      </c>
    </row>
    <row r="197" spans="1:11" x14ac:dyDescent="0.35">
      <c r="A197" s="328" t="s">
        <v>822</v>
      </c>
      <c r="B197" t="s">
        <v>823</v>
      </c>
      <c r="C197" s="327" t="s">
        <v>3306</v>
      </c>
      <c r="D197" s="328" t="str">
        <f t="shared" si="6"/>
        <v>NACE C - 18.14 Binding and related services</v>
      </c>
      <c r="E197" s="325" t="s">
        <v>824</v>
      </c>
      <c r="F197" t="s">
        <v>825</v>
      </c>
      <c r="G197" t="str">
        <f t="shared" si="7"/>
        <v>RW</v>
      </c>
      <c r="K197" t="s">
        <v>4851</v>
      </c>
    </row>
    <row r="198" spans="1:11" x14ac:dyDescent="0.35">
      <c r="A198" s="327" t="s">
        <v>826</v>
      </c>
      <c r="B198" t="s">
        <v>827</v>
      </c>
      <c r="C198" s="327" t="s">
        <v>3307</v>
      </c>
      <c r="D198" s="327" t="str">
        <f t="shared" si="6"/>
        <v>NACE C - 18.2 Reproduction of recorded media</v>
      </c>
      <c r="E198" s="325" t="s">
        <v>828</v>
      </c>
      <c r="F198" t="s">
        <v>829</v>
      </c>
      <c r="G198" t="str">
        <f t="shared" si="7"/>
        <v>SA</v>
      </c>
      <c r="K198" t="s">
        <v>4852</v>
      </c>
    </row>
    <row r="199" spans="1:11" x14ac:dyDescent="0.35">
      <c r="A199" s="328" t="s">
        <v>830</v>
      </c>
      <c r="B199" t="s">
        <v>831</v>
      </c>
      <c r="C199" s="327" t="s">
        <v>3308</v>
      </c>
      <c r="D199" s="328" t="str">
        <f t="shared" si="6"/>
        <v>NACE C - 18.20 Reproduction of recorded media</v>
      </c>
      <c r="E199" s="325" t="s">
        <v>832</v>
      </c>
      <c r="F199" t="s">
        <v>833</v>
      </c>
      <c r="G199" t="str">
        <f t="shared" si="7"/>
        <v>SB</v>
      </c>
      <c r="K199" t="s">
        <v>4853</v>
      </c>
    </row>
    <row r="200" spans="1:11" x14ac:dyDescent="0.35">
      <c r="A200" s="324" t="s">
        <v>834</v>
      </c>
      <c r="B200" t="s">
        <v>835</v>
      </c>
      <c r="C200" s="327" t="s">
        <v>3309</v>
      </c>
      <c r="D200" s="324" t="str">
        <f t="shared" si="6"/>
        <v>NACE C - 19 Manufacture of coke and refined petroleum products</v>
      </c>
      <c r="E200" s="325" t="s">
        <v>836</v>
      </c>
      <c r="F200" t="s">
        <v>837</v>
      </c>
      <c r="G200" t="str">
        <f t="shared" si="7"/>
        <v>SC</v>
      </c>
      <c r="K200" t="s">
        <v>4854</v>
      </c>
    </row>
    <row r="201" spans="1:11" x14ac:dyDescent="0.35">
      <c r="A201" s="327" t="s">
        <v>838</v>
      </c>
      <c r="B201" t="s">
        <v>839</v>
      </c>
      <c r="C201" s="327" t="s">
        <v>3310</v>
      </c>
      <c r="D201" s="327" t="str">
        <f t="shared" si="6"/>
        <v>NACE C - 19.1 Manufacture of coke oven products</v>
      </c>
      <c r="E201" s="325" t="s">
        <v>840</v>
      </c>
      <c r="F201" t="s">
        <v>841</v>
      </c>
      <c r="G201" t="str">
        <f t="shared" si="7"/>
        <v>SD</v>
      </c>
      <c r="K201" t="s">
        <v>4855</v>
      </c>
    </row>
    <row r="202" spans="1:11" x14ac:dyDescent="0.35">
      <c r="A202" s="328" t="s">
        <v>842</v>
      </c>
      <c r="B202" t="s">
        <v>843</v>
      </c>
      <c r="C202" s="327" t="s">
        <v>3311</v>
      </c>
      <c r="D202" s="328" t="str">
        <f t="shared" si="6"/>
        <v>NACE C - 19.10 Manufacture of coke oven products</v>
      </c>
      <c r="E202" s="325" t="s">
        <v>844</v>
      </c>
      <c r="F202" t="s">
        <v>845</v>
      </c>
      <c r="G202" t="str">
        <f t="shared" si="7"/>
        <v>SE</v>
      </c>
      <c r="K202" t="s">
        <v>4856</v>
      </c>
    </row>
    <row r="203" spans="1:11" x14ac:dyDescent="0.35">
      <c r="A203" s="327" t="s">
        <v>846</v>
      </c>
      <c r="B203" t="s">
        <v>847</v>
      </c>
      <c r="C203" s="327" t="s">
        <v>3312</v>
      </c>
      <c r="D203" s="327" t="str">
        <f t="shared" si="6"/>
        <v>NACE C - 19.2 Manufacture of refined petroleum products and fossil fuel products</v>
      </c>
      <c r="E203" s="325" t="s">
        <v>848</v>
      </c>
      <c r="F203" t="s">
        <v>849</v>
      </c>
      <c r="G203" t="str">
        <f t="shared" si="7"/>
        <v>SG</v>
      </c>
      <c r="K203" t="s">
        <v>4857</v>
      </c>
    </row>
    <row r="204" spans="1:11" x14ac:dyDescent="0.35">
      <c r="A204" s="328" t="s">
        <v>850</v>
      </c>
      <c r="B204" t="s">
        <v>851</v>
      </c>
      <c r="C204" s="327" t="s">
        <v>3313</v>
      </c>
      <c r="D204" s="328" t="str">
        <f t="shared" si="6"/>
        <v>NACE C - 19.20 Manufacture of refined petroleum products and fossil fuel products</v>
      </c>
      <c r="E204" s="325" t="s">
        <v>852</v>
      </c>
      <c r="F204" t="s">
        <v>853</v>
      </c>
      <c r="G204" t="str">
        <f t="shared" si="7"/>
        <v>SH</v>
      </c>
      <c r="K204" t="s">
        <v>4858</v>
      </c>
    </row>
    <row r="205" spans="1:11" x14ac:dyDescent="0.35">
      <c r="A205" s="324" t="s">
        <v>854</v>
      </c>
      <c r="B205" t="s">
        <v>855</v>
      </c>
      <c r="C205" s="327" t="s">
        <v>3314</v>
      </c>
      <c r="D205" s="324" t="str">
        <f t="shared" si="6"/>
        <v>NACE C - 20 Manufacture of chemicals and chemical products</v>
      </c>
      <c r="E205" s="325" t="s">
        <v>856</v>
      </c>
      <c r="F205" t="s">
        <v>857</v>
      </c>
      <c r="G205" t="str">
        <f t="shared" si="7"/>
        <v>SI</v>
      </c>
      <c r="K205" t="s">
        <v>4859</v>
      </c>
    </row>
    <row r="206" spans="1:11" x14ac:dyDescent="0.35">
      <c r="A206" s="327" t="s">
        <v>858</v>
      </c>
      <c r="B206" t="s">
        <v>859</v>
      </c>
      <c r="C206" s="325" t="s">
        <v>3294</v>
      </c>
      <c r="D206" s="327" t="str">
        <f t="shared" si="6"/>
        <v>NACE C - 20.1 Manufacture of basic chemicals, fertilisers and nitrogen compounds, plastics and synthetic rubber in primary forms</v>
      </c>
      <c r="E206" s="325" t="s">
        <v>860</v>
      </c>
      <c r="F206" t="s">
        <v>861</v>
      </c>
      <c r="G206" t="str">
        <f t="shared" si="7"/>
        <v>SJ</v>
      </c>
      <c r="K206" t="s">
        <v>4860</v>
      </c>
    </row>
    <row r="207" spans="1:11" x14ac:dyDescent="0.35">
      <c r="A207" s="328" t="s">
        <v>862</v>
      </c>
      <c r="B207" t="s">
        <v>863</v>
      </c>
      <c r="C207" s="324" t="s">
        <v>3316</v>
      </c>
      <c r="D207" s="328" t="str">
        <f t="shared" si="6"/>
        <v>NACE C - 20.11 Manufacture of industrial gases</v>
      </c>
      <c r="E207" s="325" t="s">
        <v>864</v>
      </c>
      <c r="F207" t="s">
        <v>865</v>
      </c>
      <c r="G207" t="str">
        <f t="shared" si="7"/>
        <v>SK</v>
      </c>
      <c r="K207" t="s">
        <v>4861</v>
      </c>
    </row>
    <row r="208" spans="1:11" x14ac:dyDescent="0.35">
      <c r="A208" s="328" t="s">
        <v>866</v>
      </c>
      <c r="B208" t="s">
        <v>867</v>
      </c>
      <c r="C208" s="327" t="s">
        <v>3317</v>
      </c>
      <c r="D208" s="328" t="str">
        <f t="shared" si="6"/>
        <v>NACE C - 20.12 Manufacture of dyes and pigments</v>
      </c>
      <c r="E208" s="325" t="s">
        <v>868</v>
      </c>
      <c r="F208" t="s">
        <v>869</v>
      </c>
      <c r="G208" t="str">
        <f t="shared" si="7"/>
        <v>SL</v>
      </c>
      <c r="K208" t="s">
        <v>4862</v>
      </c>
    </row>
    <row r="209" spans="1:11" x14ac:dyDescent="0.35">
      <c r="A209" s="328" t="s">
        <v>870</v>
      </c>
      <c r="B209" t="s">
        <v>871</v>
      </c>
      <c r="C209" s="327" t="s">
        <v>3318</v>
      </c>
      <c r="D209" s="328" t="str">
        <f t="shared" si="6"/>
        <v>NACE C - 20.13 Manufacture of other inorganic basic chemicals</v>
      </c>
      <c r="E209" s="325" t="s">
        <v>872</v>
      </c>
      <c r="F209" t="s">
        <v>873</v>
      </c>
      <c r="G209" t="str">
        <f t="shared" si="7"/>
        <v>SM</v>
      </c>
      <c r="K209" t="s">
        <v>4863</v>
      </c>
    </row>
    <row r="210" spans="1:11" x14ac:dyDescent="0.35">
      <c r="A210" s="328" t="s">
        <v>874</v>
      </c>
      <c r="B210" t="s">
        <v>875</v>
      </c>
      <c r="C210" s="327" t="s">
        <v>3319</v>
      </c>
      <c r="D210" s="328" t="str">
        <f t="shared" si="6"/>
        <v>NACE C - 20.14 Manufacture of other organic basic chemicals</v>
      </c>
      <c r="E210" s="325" t="s">
        <v>876</v>
      </c>
      <c r="F210" t="s">
        <v>877</v>
      </c>
      <c r="G210" t="str">
        <f t="shared" si="7"/>
        <v>SN</v>
      </c>
      <c r="K210" t="s">
        <v>4864</v>
      </c>
    </row>
    <row r="211" spans="1:11" x14ac:dyDescent="0.35">
      <c r="A211" s="328" t="s">
        <v>878</v>
      </c>
      <c r="B211" t="s">
        <v>879</v>
      </c>
      <c r="C211" s="327" t="s">
        <v>3320</v>
      </c>
      <c r="D211" s="328" t="str">
        <f t="shared" si="6"/>
        <v>NACE C - 20.15 Manufacture of fertilisers and nitrogen compounds</v>
      </c>
      <c r="E211" s="325" t="s">
        <v>880</v>
      </c>
      <c r="F211" t="s">
        <v>881</v>
      </c>
      <c r="G211" t="str">
        <f t="shared" si="7"/>
        <v>SO</v>
      </c>
      <c r="K211" t="s">
        <v>4865</v>
      </c>
    </row>
    <row r="212" spans="1:11" x14ac:dyDescent="0.35">
      <c r="A212" s="328" t="s">
        <v>882</v>
      </c>
      <c r="B212" t="s">
        <v>883</v>
      </c>
      <c r="C212" s="327" t="s">
        <v>3321</v>
      </c>
      <c r="D212" s="328" t="str">
        <f t="shared" si="6"/>
        <v>NACE C - 20.16 Manufacture of plastics in primary forms</v>
      </c>
      <c r="E212" s="325" t="s">
        <v>884</v>
      </c>
      <c r="F212" t="s">
        <v>885</v>
      </c>
      <c r="G212" t="str">
        <f t="shared" si="7"/>
        <v>SR</v>
      </c>
      <c r="K212" t="s">
        <v>4866</v>
      </c>
    </row>
    <row r="213" spans="1:11" x14ac:dyDescent="0.35">
      <c r="A213" s="328" t="s">
        <v>886</v>
      </c>
      <c r="B213" t="s">
        <v>887</v>
      </c>
      <c r="C213" s="324" t="s">
        <v>3322</v>
      </c>
      <c r="D213" s="328" t="str">
        <f t="shared" si="6"/>
        <v>NACE C - 20.17 Manufacture of synthetic rubber in primary forms</v>
      </c>
      <c r="E213" s="325" t="s">
        <v>888</v>
      </c>
      <c r="F213" t="s">
        <v>889</v>
      </c>
      <c r="G213" t="str">
        <f t="shared" si="7"/>
        <v>SS</v>
      </c>
      <c r="K213" t="s">
        <v>4647</v>
      </c>
    </row>
    <row r="214" spans="1:11" x14ac:dyDescent="0.35">
      <c r="A214" s="327" t="s">
        <v>890</v>
      </c>
      <c r="B214" t="s">
        <v>891</v>
      </c>
      <c r="C214" s="327" t="s">
        <v>3323</v>
      </c>
      <c r="D214" s="327" t="str">
        <f t="shared" si="6"/>
        <v>NACE C - 20.2 Manufacture of pesticides, disinfectants and other agrochemical products</v>
      </c>
      <c r="E214" s="325" t="s">
        <v>892</v>
      </c>
      <c r="F214" t="s">
        <v>893</v>
      </c>
      <c r="G214" t="str">
        <f t="shared" si="7"/>
        <v>ST</v>
      </c>
      <c r="K214" t="s">
        <v>4867</v>
      </c>
    </row>
    <row r="215" spans="1:11" x14ac:dyDescent="0.35">
      <c r="A215" s="328" t="s">
        <v>894</v>
      </c>
      <c r="B215" t="s">
        <v>895</v>
      </c>
      <c r="C215" s="327" t="s">
        <v>3324</v>
      </c>
      <c r="D215" s="328" t="str">
        <f t="shared" si="6"/>
        <v>NACE C - 20.20 Manufacture of pesticides, disinfectants and other agrochemical products</v>
      </c>
      <c r="E215" s="325" t="s">
        <v>896</v>
      </c>
      <c r="F215" t="s">
        <v>897</v>
      </c>
      <c r="G215" t="str">
        <f t="shared" si="7"/>
        <v>SV</v>
      </c>
      <c r="K215" t="s">
        <v>4868</v>
      </c>
    </row>
    <row r="216" spans="1:11" x14ac:dyDescent="0.35">
      <c r="A216" s="327" t="s">
        <v>898</v>
      </c>
      <c r="B216" t="s">
        <v>899</v>
      </c>
      <c r="C216" s="327" t="s">
        <v>3325</v>
      </c>
      <c r="D216" s="327" t="str">
        <f t="shared" si="6"/>
        <v>NACE C - 20.3 Manufacture of paints, varnishes and similar coatings, printing ink and mastics</v>
      </c>
      <c r="E216" s="325" t="s">
        <v>900</v>
      </c>
      <c r="F216" t="s">
        <v>901</v>
      </c>
      <c r="G216" t="str">
        <f t="shared" si="7"/>
        <v>SX</v>
      </c>
      <c r="K216" t="s">
        <v>4869</v>
      </c>
    </row>
    <row r="217" spans="1:11" x14ac:dyDescent="0.35">
      <c r="A217" s="328" t="s">
        <v>902</v>
      </c>
      <c r="B217" t="s">
        <v>903</v>
      </c>
      <c r="C217" s="327" t="s">
        <v>3326</v>
      </c>
      <c r="D217" s="328" t="str">
        <f t="shared" si="6"/>
        <v>NACE C - 20.30 Manufacture of paints, varnishes and similar coatings, printing ink and mastics</v>
      </c>
      <c r="E217" s="325" t="s">
        <v>904</v>
      </c>
      <c r="F217" t="s">
        <v>905</v>
      </c>
      <c r="G217" t="str">
        <f t="shared" si="7"/>
        <v>SY</v>
      </c>
      <c r="K217" t="s">
        <v>4870</v>
      </c>
    </row>
    <row r="218" spans="1:11" x14ac:dyDescent="0.35">
      <c r="A218" s="327" t="s">
        <v>906</v>
      </c>
      <c r="B218" t="s">
        <v>907</v>
      </c>
      <c r="C218" s="324" t="s">
        <v>3327</v>
      </c>
      <c r="D218" s="327" t="str">
        <f t="shared" si="6"/>
        <v>NACE C - 20.4 Manufacture of washing, cleaning and polishing preparations</v>
      </c>
      <c r="E218" s="325" t="s">
        <v>908</v>
      </c>
      <c r="F218" t="s">
        <v>909</v>
      </c>
      <c r="G218" t="str">
        <f t="shared" si="7"/>
        <v>SZ</v>
      </c>
      <c r="K218" t="s">
        <v>4871</v>
      </c>
    </row>
    <row r="219" spans="1:11" x14ac:dyDescent="0.35">
      <c r="A219" s="328" t="s">
        <v>910</v>
      </c>
      <c r="B219" t="s">
        <v>911</v>
      </c>
      <c r="C219" s="327" t="s">
        <v>3328</v>
      </c>
      <c r="D219" s="328" t="str">
        <f t="shared" si="6"/>
        <v>NACE C - 20.41 Manufacture of soap and detergents, cleaning and polishing preparations</v>
      </c>
      <c r="E219" s="325" t="s">
        <v>912</v>
      </c>
      <c r="F219" t="s">
        <v>913</v>
      </c>
      <c r="G219" t="str">
        <f t="shared" si="7"/>
        <v>TC</v>
      </c>
      <c r="K219" t="s">
        <v>4872</v>
      </c>
    </row>
    <row r="220" spans="1:11" x14ac:dyDescent="0.35">
      <c r="A220" s="328" t="s">
        <v>914</v>
      </c>
      <c r="B220" t="s">
        <v>915</v>
      </c>
      <c r="C220" s="327" t="s">
        <v>3329</v>
      </c>
      <c r="D220" s="328" t="str">
        <f t="shared" si="6"/>
        <v>NACE C - 20.42 Manufacture of perfume and toilet preparations</v>
      </c>
      <c r="E220" s="325" t="s">
        <v>916</v>
      </c>
      <c r="F220" t="s">
        <v>917</v>
      </c>
      <c r="G220" t="str">
        <f t="shared" si="7"/>
        <v>TD</v>
      </c>
      <c r="K220" t="s">
        <v>4873</v>
      </c>
    </row>
    <row r="221" spans="1:11" x14ac:dyDescent="0.35">
      <c r="A221" s="327" t="s">
        <v>918</v>
      </c>
      <c r="B221" t="s">
        <v>919</v>
      </c>
      <c r="C221" s="324" t="s">
        <v>3330</v>
      </c>
      <c r="D221" s="327" t="str">
        <f t="shared" si="6"/>
        <v>NACE C - 20.5 Manufacture of other chemical products</v>
      </c>
      <c r="E221" s="325" t="s">
        <v>920</v>
      </c>
      <c r="F221" t="s">
        <v>921</v>
      </c>
      <c r="G221" t="str">
        <f t="shared" si="7"/>
        <v>TF</v>
      </c>
      <c r="K221" t="s">
        <v>4874</v>
      </c>
    </row>
    <row r="222" spans="1:11" x14ac:dyDescent="0.35">
      <c r="A222" s="328" t="s">
        <v>922</v>
      </c>
      <c r="B222" t="s">
        <v>923</v>
      </c>
      <c r="C222" s="327" t="s">
        <v>3331</v>
      </c>
      <c r="D222" s="328" t="str">
        <f t="shared" si="6"/>
        <v>NACE C - 20.51 Manufacture of liquid biofuels</v>
      </c>
      <c r="E222" s="325" t="s">
        <v>924</v>
      </c>
      <c r="F222" t="s">
        <v>925</v>
      </c>
      <c r="G222" t="str">
        <f t="shared" si="7"/>
        <v>TG</v>
      </c>
      <c r="K222" t="s">
        <v>4875</v>
      </c>
    </row>
    <row r="223" spans="1:11" x14ac:dyDescent="0.35">
      <c r="A223" s="328" t="s">
        <v>926</v>
      </c>
      <c r="B223" t="s">
        <v>927</v>
      </c>
      <c r="C223" s="327" t="s">
        <v>3332</v>
      </c>
      <c r="D223" s="328" t="str">
        <f t="shared" si="6"/>
        <v>NACE C - 20.59 Manufacture of other chemical products n.e.c.</v>
      </c>
      <c r="E223" s="325" t="s">
        <v>928</v>
      </c>
      <c r="F223" t="s">
        <v>929</v>
      </c>
      <c r="G223" t="str">
        <f t="shared" si="7"/>
        <v>TH</v>
      </c>
      <c r="K223" t="s">
        <v>4876</v>
      </c>
    </row>
    <row r="224" spans="1:11" x14ac:dyDescent="0.35">
      <c r="A224" s="327" t="s">
        <v>930</v>
      </c>
      <c r="B224" t="s">
        <v>931</v>
      </c>
      <c r="C224" s="327" t="s">
        <v>3333</v>
      </c>
      <c r="D224" s="327" t="str">
        <f t="shared" si="6"/>
        <v>NACE C - 20.6 Manufacture of man-made fibres</v>
      </c>
      <c r="E224" s="325" t="s">
        <v>932</v>
      </c>
      <c r="F224" t="s">
        <v>933</v>
      </c>
      <c r="G224" t="str">
        <f t="shared" si="7"/>
        <v>TJ</v>
      </c>
      <c r="K224" t="s">
        <v>4877</v>
      </c>
    </row>
    <row r="225" spans="1:11" x14ac:dyDescent="0.35">
      <c r="A225" s="328" t="s">
        <v>934</v>
      </c>
      <c r="B225" t="s">
        <v>935</v>
      </c>
      <c r="C225" s="324" t="s">
        <v>3334</v>
      </c>
      <c r="D225" s="328" t="str">
        <f t="shared" si="6"/>
        <v>NACE C - 20.60 Manufacture of man-made fibres</v>
      </c>
      <c r="E225" s="325" t="s">
        <v>936</v>
      </c>
      <c r="F225" t="s">
        <v>937</v>
      </c>
      <c r="G225" t="str">
        <f t="shared" si="7"/>
        <v>TK</v>
      </c>
      <c r="K225" t="s">
        <v>4878</v>
      </c>
    </row>
    <row r="226" spans="1:11" x14ac:dyDescent="0.35">
      <c r="A226" s="324" t="s">
        <v>938</v>
      </c>
      <c r="B226" t="s">
        <v>939</v>
      </c>
      <c r="C226" s="327" t="s">
        <v>3335</v>
      </c>
      <c r="D226" s="324" t="str">
        <f t="shared" si="6"/>
        <v>NACE C - 21 Manufacture of basic pharmaceutical products and pharmaceutical preparations</v>
      </c>
      <c r="E226" s="325" t="s">
        <v>940</v>
      </c>
      <c r="F226" t="s">
        <v>941</v>
      </c>
      <c r="G226" t="str">
        <f t="shared" si="7"/>
        <v>TL</v>
      </c>
      <c r="K226" t="s">
        <v>4879</v>
      </c>
    </row>
    <row r="227" spans="1:11" x14ac:dyDescent="0.35">
      <c r="A227" s="327" t="s">
        <v>942</v>
      </c>
      <c r="B227" t="s">
        <v>943</v>
      </c>
      <c r="C227" s="327" t="s">
        <v>3336</v>
      </c>
      <c r="D227" s="327" t="str">
        <f t="shared" si="6"/>
        <v>NACE C - 21.1 Manufacture of basic pharmaceutical products</v>
      </c>
      <c r="E227" s="325" t="s">
        <v>944</v>
      </c>
      <c r="F227" t="s">
        <v>945</v>
      </c>
      <c r="G227" t="str">
        <f t="shared" si="7"/>
        <v>TM</v>
      </c>
      <c r="K227" t="s">
        <v>4880</v>
      </c>
    </row>
    <row r="228" spans="1:11" x14ac:dyDescent="0.35">
      <c r="A228" s="328" t="s">
        <v>946</v>
      </c>
      <c r="B228" t="s">
        <v>947</v>
      </c>
      <c r="C228" s="327" t="s">
        <v>3337</v>
      </c>
      <c r="D228" s="328" t="str">
        <f t="shared" si="6"/>
        <v>NACE C - 21.10 Manufacture of basic pharmaceutical products</v>
      </c>
      <c r="E228" s="325" t="s">
        <v>948</v>
      </c>
      <c r="F228" t="s">
        <v>949</v>
      </c>
      <c r="G228" t="str">
        <f t="shared" si="7"/>
        <v>TN</v>
      </c>
      <c r="K228" t="s">
        <v>4881</v>
      </c>
    </row>
    <row r="229" spans="1:11" x14ac:dyDescent="0.35">
      <c r="A229" s="327" t="s">
        <v>950</v>
      </c>
      <c r="B229" t="s">
        <v>951</v>
      </c>
      <c r="C229" s="325" t="s">
        <v>3315</v>
      </c>
      <c r="D229" s="327" t="str">
        <f t="shared" si="6"/>
        <v>NACE C - 21.2 Manufacture of pharmaceutical preparations</v>
      </c>
      <c r="E229" s="325" t="s">
        <v>952</v>
      </c>
      <c r="F229" t="s">
        <v>953</v>
      </c>
      <c r="G229" t="str">
        <f t="shared" si="7"/>
        <v>TO</v>
      </c>
      <c r="K229" t="s">
        <v>4882</v>
      </c>
    </row>
    <row r="230" spans="1:11" x14ac:dyDescent="0.35">
      <c r="A230" s="328" t="s">
        <v>954</v>
      </c>
      <c r="B230" t="s">
        <v>955</v>
      </c>
      <c r="C230" s="324" t="s">
        <v>3339</v>
      </c>
      <c r="D230" s="328" t="str">
        <f t="shared" si="6"/>
        <v>NACE C - 21.20 Manufacture of pharmaceutical preparations</v>
      </c>
      <c r="E230" s="325" t="s">
        <v>956</v>
      </c>
      <c r="F230" t="s">
        <v>957</v>
      </c>
      <c r="G230" t="str">
        <f t="shared" si="7"/>
        <v>TP</v>
      </c>
      <c r="K230" t="s">
        <v>4883</v>
      </c>
    </row>
    <row r="231" spans="1:11" x14ac:dyDescent="0.35">
      <c r="A231" s="324" t="s">
        <v>958</v>
      </c>
      <c r="B231" t="s">
        <v>959</v>
      </c>
      <c r="C231" s="327" t="s">
        <v>3340</v>
      </c>
      <c r="D231" s="324" t="str">
        <f t="shared" si="6"/>
        <v>NACE C - 22 Manufacture of rubber and plastic products</v>
      </c>
      <c r="E231" s="325" t="s">
        <v>960</v>
      </c>
      <c r="F231" t="s">
        <v>961</v>
      </c>
      <c r="G231" t="str">
        <f t="shared" si="7"/>
        <v>TR</v>
      </c>
      <c r="K231" t="s">
        <v>4884</v>
      </c>
    </row>
    <row r="232" spans="1:11" x14ac:dyDescent="0.35">
      <c r="A232" s="327" t="s">
        <v>962</v>
      </c>
      <c r="B232" t="s">
        <v>963</v>
      </c>
      <c r="C232" s="327" t="s">
        <v>3341</v>
      </c>
      <c r="D232" s="327" t="str">
        <f t="shared" si="6"/>
        <v>NACE C - 22.1 Manufacture of rubber products</v>
      </c>
      <c r="E232" s="325" t="s">
        <v>964</v>
      </c>
      <c r="F232" t="s">
        <v>965</v>
      </c>
      <c r="G232" t="str">
        <f t="shared" si="7"/>
        <v>TT</v>
      </c>
      <c r="K232" t="s">
        <v>4885</v>
      </c>
    </row>
    <row r="233" spans="1:11" x14ac:dyDescent="0.35">
      <c r="A233" s="328" t="s">
        <v>966</v>
      </c>
      <c r="B233" t="s">
        <v>967</v>
      </c>
      <c r="C233" s="327" t="s">
        <v>3342</v>
      </c>
      <c r="D233" s="328" t="str">
        <f t="shared" si="6"/>
        <v>NACE C - 22.11 Manufacture, retreading and rebuilding of rubber tyres and manufacture of tubes</v>
      </c>
      <c r="E233" s="325" t="s">
        <v>968</v>
      </c>
      <c r="F233" t="s">
        <v>969</v>
      </c>
      <c r="G233" t="str">
        <f t="shared" si="7"/>
        <v>TV</v>
      </c>
      <c r="K233" t="s">
        <v>4886</v>
      </c>
    </row>
    <row r="234" spans="1:11" x14ac:dyDescent="0.35">
      <c r="A234" s="328" t="s">
        <v>970</v>
      </c>
      <c r="B234" t="s">
        <v>971</v>
      </c>
      <c r="C234" s="327" t="s">
        <v>3343</v>
      </c>
      <c r="D234" s="328" t="str">
        <f t="shared" si="6"/>
        <v>NACE C - 22.12 Manufacture of other rubber products</v>
      </c>
      <c r="E234" s="325" t="s">
        <v>972</v>
      </c>
      <c r="F234" t="s">
        <v>973</v>
      </c>
      <c r="G234" t="str">
        <f t="shared" si="7"/>
        <v>TW</v>
      </c>
      <c r="K234" t="s">
        <v>4887</v>
      </c>
    </row>
    <row r="235" spans="1:11" x14ac:dyDescent="0.35">
      <c r="A235" s="327" t="s">
        <v>974</v>
      </c>
      <c r="B235" t="s">
        <v>975</v>
      </c>
      <c r="C235" s="327" t="s">
        <v>3344</v>
      </c>
      <c r="D235" s="327" t="str">
        <f t="shared" si="6"/>
        <v>NACE C - 22.2 Manufacture of plastic products</v>
      </c>
      <c r="E235" s="325" t="s">
        <v>976</v>
      </c>
      <c r="F235" t="s">
        <v>977</v>
      </c>
      <c r="G235" t="str">
        <f t="shared" si="7"/>
        <v>TZ</v>
      </c>
      <c r="K235" t="s">
        <v>4888</v>
      </c>
    </row>
    <row r="236" spans="1:11" x14ac:dyDescent="0.35">
      <c r="A236" s="328" t="s">
        <v>978</v>
      </c>
      <c r="B236" t="s">
        <v>979</v>
      </c>
      <c r="C236" s="324" t="s">
        <v>3345</v>
      </c>
      <c r="D236" s="328" t="str">
        <f t="shared" si="6"/>
        <v>NACE C - 22.21 Manufacture of plastic plates, sheets, tubes and profiles</v>
      </c>
      <c r="E236" s="325" t="s">
        <v>980</v>
      </c>
      <c r="F236" t="s">
        <v>981</v>
      </c>
      <c r="G236" t="str">
        <f t="shared" si="7"/>
        <v>UA</v>
      </c>
      <c r="K236" t="s">
        <v>4889</v>
      </c>
    </row>
    <row r="237" spans="1:11" x14ac:dyDescent="0.35">
      <c r="A237" s="328" t="s">
        <v>982</v>
      </c>
      <c r="B237" t="s">
        <v>983</v>
      </c>
      <c r="C237" s="327" t="s">
        <v>3346</v>
      </c>
      <c r="D237" s="328" t="str">
        <f t="shared" si="6"/>
        <v>NACE C - 22.22 Manufacture of plastic packing goods</v>
      </c>
      <c r="E237" s="325" t="s">
        <v>984</v>
      </c>
      <c r="F237" t="s">
        <v>985</v>
      </c>
      <c r="G237" t="str">
        <f t="shared" si="7"/>
        <v>UG</v>
      </c>
      <c r="K237" t="s">
        <v>4890</v>
      </c>
    </row>
    <row r="238" spans="1:11" x14ac:dyDescent="0.35">
      <c r="A238" s="328" t="s">
        <v>986</v>
      </c>
      <c r="B238" t="s">
        <v>987</v>
      </c>
      <c r="C238" s="327" t="s">
        <v>3347</v>
      </c>
      <c r="D238" s="328" t="str">
        <f t="shared" si="6"/>
        <v>NACE C - 22.23 Manufacture of doors and windows of plastic</v>
      </c>
      <c r="E238" s="325" t="s">
        <v>988</v>
      </c>
      <c r="F238" t="s">
        <v>989</v>
      </c>
      <c r="G238" t="str">
        <f t="shared" si="7"/>
        <v>UM</v>
      </c>
      <c r="K238" t="s">
        <v>4891</v>
      </c>
    </row>
    <row r="239" spans="1:11" x14ac:dyDescent="0.35">
      <c r="A239" s="328" t="s">
        <v>990</v>
      </c>
      <c r="B239" t="s">
        <v>991</v>
      </c>
      <c r="C239" s="328" t="s">
        <v>3348</v>
      </c>
      <c r="D239" s="328" t="str">
        <f t="shared" si="6"/>
        <v>NACE C - 22.24 Manufacture of builders’ ware of plastic</v>
      </c>
      <c r="E239" s="325" t="s">
        <v>992</v>
      </c>
      <c r="F239" t="s">
        <v>993</v>
      </c>
      <c r="G239" t="str">
        <f t="shared" si="7"/>
        <v>US</v>
      </c>
      <c r="K239" t="s">
        <v>4892</v>
      </c>
    </row>
    <row r="240" spans="1:11" x14ac:dyDescent="0.35">
      <c r="A240" s="328" t="s">
        <v>994</v>
      </c>
      <c r="B240" t="s">
        <v>995</v>
      </c>
      <c r="C240" s="327" t="s">
        <v>3349</v>
      </c>
      <c r="D240" s="328" t="str">
        <f t="shared" si="6"/>
        <v>NACE C - 22.25 Processing and finishing of plastic products</v>
      </c>
      <c r="E240" s="325" t="s">
        <v>996</v>
      </c>
      <c r="F240" t="s">
        <v>997</v>
      </c>
      <c r="G240" t="str">
        <f t="shared" si="7"/>
        <v>UY</v>
      </c>
      <c r="K240" t="s">
        <v>4893</v>
      </c>
    </row>
    <row r="241" spans="1:11" x14ac:dyDescent="0.35">
      <c r="A241" s="328" t="s">
        <v>998</v>
      </c>
      <c r="B241" t="s">
        <v>999</v>
      </c>
      <c r="C241" s="327" t="s">
        <v>3350</v>
      </c>
      <c r="D241" s="328" t="str">
        <f t="shared" si="6"/>
        <v>NACE C - 22.26 Manufacture of other plastic products</v>
      </c>
      <c r="E241" s="325" t="s">
        <v>1000</v>
      </c>
      <c r="F241" t="s">
        <v>1001</v>
      </c>
      <c r="G241" t="str">
        <f t="shared" si="7"/>
        <v>UZ</v>
      </c>
      <c r="K241" t="s">
        <v>4894</v>
      </c>
    </row>
    <row r="242" spans="1:11" x14ac:dyDescent="0.35">
      <c r="A242" s="324" t="s">
        <v>1002</v>
      </c>
      <c r="B242" t="s">
        <v>1003</v>
      </c>
      <c r="C242" s="325" t="s">
        <v>3338</v>
      </c>
      <c r="D242" s="324" t="str">
        <f t="shared" si="6"/>
        <v>NACE C - 23 Manufacture of other non-metallic mineral products</v>
      </c>
      <c r="E242" s="325" t="s">
        <v>1004</v>
      </c>
      <c r="F242" t="s">
        <v>1005</v>
      </c>
      <c r="G242" t="str">
        <f t="shared" si="7"/>
        <v>VA</v>
      </c>
      <c r="K242" t="s">
        <v>4895</v>
      </c>
    </row>
    <row r="243" spans="1:11" x14ac:dyDescent="0.35">
      <c r="A243" s="327" t="s">
        <v>1006</v>
      </c>
      <c r="B243" t="s">
        <v>1007</v>
      </c>
      <c r="C243" s="324" t="s">
        <v>3352</v>
      </c>
      <c r="D243" s="327" t="str">
        <f t="shared" si="6"/>
        <v>NACE C - 23.1 Manufacture of glass and glass products</v>
      </c>
      <c r="E243" s="325" t="s">
        <v>1008</v>
      </c>
      <c r="F243" t="s">
        <v>1009</v>
      </c>
      <c r="G243" t="str">
        <f t="shared" si="7"/>
        <v>VC</v>
      </c>
      <c r="K243" t="s">
        <v>4896</v>
      </c>
    </row>
    <row r="244" spans="1:11" x14ac:dyDescent="0.35">
      <c r="A244" s="328" t="s">
        <v>1010</v>
      </c>
      <c r="B244" t="s">
        <v>1011</v>
      </c>
      <c r="C244" s="327" t="s">
        <v>3353</v>
      </c>
      <c r="D244" s="328" t="str">
        <f t="shared" si="6"/>
        <v>NACE C - 23.11 Manufacture of flat glass</v>
      </c>
      <c r="E244" s="325" t="s">
        <v>1012</v>
      </c>
      <c r="F244" t="s">
        <v>1013</v>
      </c>
      <c r="G244" t="str">
        <f t="shared" si="7"/>
        <v>VE</v>
      </c>
      <c r="K244" t="s">
        <v>4897</v>
      </c>
    </row>
    <row r="245" spans="1:11" x14ac:dyDescent="0.35">
      <c r="A245" s="328" t="s">
        <v>1014</v>
      </c>
      <c r="B245" t="s">
        <v>1015</v>
      </c>
      <c r="C245" s="327" t="s">
        <v>3354</v>
      </c>
      <c r="D245" s="328" t="str">
        <f t="shared" si="6"/>
        <v>NACE C - 23.12 Shaping and processing of flat glass</v>
      </c>
      <c r="E245" s="325" t="s">
        <v>1016</v>
      </c>
      <c r="F245" t="s">
        <v>1017</v>
      </c>
      <c r="G245" t="str">
        <f t="shared" si="7"/>
        <v>VG</v>
      </c>
      <c r="K245" t="s">
        <v>4898</v>
      </c>
    </row>
    <row r="246" spans="1:11" x14ac:dyDescent="0.35">
      <c r="A246" s="328" t="s">
        <v>1018</v>
      </c>
      <c r="B246" t="s">
        <v>1019</v>
      </c>
      <c r="C246" s="324" t="s">
        <v>3355</v>
      </c>
      <c r="D246" s="328" t="str">
        <f t="shared" si="6"/>
        <v>NACE C - 23.13 Manufacture of hollow glass</v>
      </c>
      <c r="E246" s="325" t="s">
        <v>1020</v>
      </c>
      <c r="F246" t="s">
        <v>1021</v>
      </c>
      <c r="G246" t="str">
        <f t="shared" si="7"/>
        <v>VI</v>
      </c>
      <c r="K246" t="s">
        <v>4899</v>
      </c>
    </row>
    <row r="247" spans="1:11" x14ac:dyDescent="0.35">
      <c r="A247" s="328" t="s">
        <v>1022</v>
      </c>
      <c r="B247" t="s">
        <v>1023</v>
      </c>
      <c r="C247" s="327" t="s">
        <v>3356</v>
      </c>
      <c r="D247" s="328" t="str">
        <f t="shared" si="6"/>
        <v>NACE C - 23.14 Manufacture of glass fibres</v>
      </c>
      <c r="E247" s="325" t="s">
        <v>1024</v>
      </c>
      <c r="F247" t="s">
        <v>1025</v>
      </c>
      <c r="G247" t="str">
        <f t="shared" si="7"/>
        <v>VN</v>
      </c>
      <c r="K247" t="s">
        <v>4900</v>
      </c>
    </row>
    <row r="248" spans="1:11" x14ac:dyDescent="0.35">
      <c r="A248" s="328" t="s">
        <v>1026</v>
      </c>
      <c r="B248" t="s">
        <v>1027</v>
      </c>
      <c r="C248" s="327" t="s">
        <v>3357</v>
      </c>
      <c r="D248" s="328" t="str">
        <f t="shared" si="6"/>
        <v>NACE C - 23.15 Manufacture and processing of other glass, including technical glassware</v>
      </c>
      <c r="E248" s="325" t="s">
        <v>1028</v>
      </c>
      <c r="F248" t="s">
        <v>1029</v>
      </c>
      <c r="G248" t="str">
        <f t="shared" si="7"/>
        <v>VU</v>
      </c>
      <c r="K248" t="s">
        <v>4901</v>
      </c>
    </row>
    <row r="249" spans="1:11" x14ac:dyDescent="0.35">
      <c r="A249" s="327" t="s">
        <v>1030</v>
      </c>
      <c r="B249" t="s">
        <v>1031</v>
      </c>
      <c r="C249" s="324" t="s">
        <v>3358</v>
      </c>
      <c r="D249" s="327" t="str">
        <f t="shared" si="6"/>
        <v>NACE C - 23.2 Manufacture of refractory products</v>
      </c>
      <c r="E249" s="325" t="s">
        <v>1032</v>
      </c>
      <c r="F249" t="s">
        <v>1033</v>
      </c>
      <c r="G249" t="str">
        <f t="shared" si="7"/>
        <v>WF</v>
      </c>
      <c r="K249" t="s">
        <v>4902</v>
      </c>
    </row>
    <row r="250" spans="1:11" x14ac:dyDescent="0.35">
      <c r="A250" s="328" t="s">
        <v>1034</v>
      </c>
      <c r="B250" t="s">
        <v>1035</v>
      </c>
      <c r="C250" s="327" t="s">
        <v>3359</v>
      </c>
      <c r="D250" s="328" t="str">
        <f t="shared" si="6"/>
        <v>NACE C - 23.20 Manufacture of refractory products</v>
      </c>
      <c r="E250" s="325" t="s">
        <v>1036</v>
      </c>
      <c r="F250" t="s">
        <v>1037</v>
      </c>
      <c r="G250" t="str">
        <f t="shared" si="7"/>
        <v>WS</v>
      </c>
      <c r="K250" t="s">
        <v>4903</v>
      </c>
    </row>
    <row r="251" spans="1:11" x14ac:dyDescent="0.35">
      <c r="A251" s="327" t="s">
        <v>1038</v>
      </c>
      <c r="B251" t="s">
        <v>1039</v>
      </c>
      <c r="C251" s="327" t="s">
        <v>3360</v>
      </c>
      <c r="D251" s="327" t="str">
        <f t="shared" si="6"/>
        <v>NACE C - 23.3 Manufacture of clay building materials</v>
      </c>
      <c r="E251" s="325" t="s">
        <v>1040</v>
      </c>
      <c r="F251" t="s">
        <v>1041</v>
      </c>
      <c r="G251" t="str">
        <f t="shared" si="7"/>
        <v>YE</v>
      </c>
      <c r="K251" t="s">
        <v>4904</v>
      </c>
    </row>
    <row r="252" spans="1:11" x14ac:dyDescent="0.35">
      <c r="A252" s="328" t="s">
        <v>1042</v>
      </c>
      <c r="B252" t="s">
        <v>1043</v>
      </c>
      <c r="C252" s="327" t="s">
        <v>3361</v>
      </c>
      <c r="D252" s="328" t="str">
        <f t="shared" si="6"/>
        <v>NACE C - 23.31 Manufacture of ceramic tiles and flags</v>
      </c>
      <c r="E252" s="325" t="s">
        <v>1044</v>
      </c>
      <c r="F252" t="s">
        <v>1045</v>
      </c>
      <c r="G252" t="str">
        <f t="shared" si="7"/>
        <v>YT</v>
      </c>
      <c r="K252" t="s">
        <v>4905</v>
      </c>
    </row>
    <row r="253" spans="1:11" x14ac:dyDescent="0.35">
      <c r="A253" s="328" t="s">
        <v>1046</v>
      </c>
      <c r="B253" t="s">
        <v>1047</v>
      </c>
      <c r="C253" s="325" t="s">
        <v>3351</v>
      </c>
      <c r="D253" s="328" t="str">
        <f t="shared" si="6"/>
        <v>NACE C - 23.32 Manufacture of bricks, tiles and construction products, in baked clay</v>
      </c>
      <c r="E253" s="325" t="s">
        <v>1048</v>
      </c>
      <c r="F253" t="s">
        <v>1049</v>
      </c>
      <c r="G253" t="str">
        <f t="shared" si="7"/>
        <v>YU</v>
      </c>
      <c r="K253" t="s">
        <v>4906</v>
      </c>
    </row>
    <row r="254" spans="1:11" x14ac:dyDescent="0.35">
      <c r="A254" s="327" t="s">
        <v>1050</v>
      </c>
      <c r="B254" t="s">
        <v>1051</v>
      </c>
      <c r="C254" s="324" t="s">
        <v>3363</v>
      </c>
      <c r="D254" s="327" t="str">
        <f t="shared" si="6"/>
        <v>NACE C - 23.4 Manufacture of other porcelain and ceramic products</v>
      </c>
      <c r="E254" s="325" t="s">
        <v>1052</v>
      </c>
      <c r="F254" t="s">
        <v>1053</v>
      </c>
      <c r="G254" t="str">
        <f t="shared" si="7"/>
        <v>ZA</v>
      </c>
      <c r="K254" t="s">
        <v>4907</v>
      </c>
    </row>
    <row r="255" spans="1:11" x14ac:dyDescent="0.35">
      <c r="A255" s="328" t="s">
        <v>1054</v>
      </c>
      <c r="B255" t="s">
        <v>1055</v>
      </c>
      <c r="C255" s="327" t="s">
        <v>3364</v>
      </c>
      <c r="D255" s="328" t="str">
        <f t="shared" si="6"/>
        <v>NACE C - 23.41 Manufacture of ceramic household and ornamental articles</v>
      </c>
      <c r="E255" s="325" t="s">
        <v>1056</v>
      </c>
      <c r="F255" t="s">
        <v>1057</v>
      </c>
      <c r="G255" t="str">
        <f t="shared" si="7"/>
        <v>ZM</v>
      </c>
      <c r="K255" t="s">
        <v>4908</v>
      </c>
    </row>
    <row r="256" spans="1:11" x14ac:dyDescent="0.35">
      <c r="A256" s="328" t="s">
        <v>1058</v>
      </c>
      <c r="B256" t="s">
        <v>1059</v>
      </c>
      <c r="C256" s="327" t="s">
        <v>3365</v>
      </c>
      <c r="D256" s="328" t="str">
        <f t="shared" si="6"/>
        <v>NACE C - 23.42 Manufacture of ceramic sanitary fixtures</v>
      </c>
      <c r="E256" s="325" t="s">
        <v>1060</v>
      </c>
      <c r="F256" t="s">
        <v>1061</v>
      </c>
      <c r="G256" t="str">
        <f t="shared" si="7"/>
        <v>ZR</v>
      </c>
      <c r="K256" t="s">
        <v>4909</v>
      </c>
    </row>
    <row r="257" spans="1:11" x14ac:dyDescent="0.35">
      <c r="A257" s="328" t="s">
        <v>1062</v>
      </c>
      <c r="B257" t="s">
        <v>1063</v>
      </c>
      <c r="C257" s="327" t="s">
        <v>3366</v>
      </c>
      <c r="D257" s="328" t="str">
        <f t="shared" si="6"/>
        <v>NACE C - 23.43 Manufacture of ceramic insulators and insulating fittings</v>
      </c>
      <c r="E257" s="325" t="s">
        <v>1064</v>
      </c>
      <c r="F257" t="s">
        <v>1065</v>
      </c>
      <c r="G257" t="str">
        <f t="shared" si="7"/>
        <v>ZW</v>
      </c>
      <c r="K257" t="s">
        <v>4910</v>
      </c>
    </row>
    <row r="258" spans="1:11" x14ac:dyDescent="0.35">
      <c r="A258" s="328" t="s">
        <v>1066</v>
      </c>
      <c r="B258" t="s">
        <v>1067</v>
      </c>
      <c r="C258" s="324" t="s">
        <v>3367</v>
      </c>
      <c r="D258" s="328" t="str">
        <f t="shared" ref="D258:D321" si="8">_xlfn.CONCAT("NACE ", A258)</f>
        <v>NACE C - 23.44 Manufacture of other technical ceramic products</v>
      </c>
      <c r="K258" t="s">
        <v>4911</v>
      </c>
    </row>
    <row r="259" spans="1:11" x14ac:dyDescent="0.35">
      <c r="A259" s="328" t="s">
        <v>1068</v>
      </c>
      <c r="B259" t="s">
        <v>1069</v>
      </c>
      <c r="C259" s="327" t="s">
        <v>3368</v>
      </c>
      <c r="D259" s="328" t="str">
        <f t="shared" si="8"/>
        <v>NACE C - 23.45 Manufacture of other ceramic products</v>
      </c>
      <c r="K259" t="s">
        <v>4912</v>
      </c>
    </row>
    <row r="260" spans="1:11" x14ac:dyDescent="0.35">
      <c r="A260" s="327" t="s">
        <v>1070</v>
      </c>
      <c r="B260" t="s">
        <v>1071</v>
      </c>
      <c r="C260" s="327" t="s">
        <v>3369</v>
      </c>
      <c r="D260" s="327" t="str">
        <f t="shared" si="8"/>
        <v>NACE C - 23.5 Manufacture of cement, lime and plaster</v>
      </c>
      <c r="K260" t="s">
        <v>4913</v>
      </c>
    </row>
    <row r="261" spans="1:11" x14ac:dyDescent="0.35">
      <c r="A261" s="328" t="s">
        <v>1072</v>
      </c>
      <c r="B261" t="s">
        <v>1073</v>
      </c>
      <c r="C261" s="327" t="s">
        <v>3370</v>
      </c>
      <c r="D261" s="328" t="str">
        <f t="shared" si="8"/>
        <v>NACE C - 23.51 Manufacture of cement</v>
      </c>
      <c r="K261" t="s">
        <v>4914</v>
      </c>
    </row>
    <row r="262" spans="1:11" x14ac:dyDescent="0.35">
      <c r="A262" s="328" t="s">
        <v>1074</v>
      </c>
      <c r="B262" t="s">
        <v>1075</v>
      </c>
      <c r="C262" s="324" t="s">
        <v>3371</v>
      </c>
      <c r="D262" s="328" t="str">
        <f t="shared" si="8"/>
        <v>NACE C - 23.52 Manufacture of lime and plaster</v>
      </c>
      <c r="K262" t="s">
        <v>4915</v>
      </c>
    </row>
    <row r="263" spans="1:11" x14ac:dyDescent="0.35">
      <c r="A263" s="327" t="s">
        <v>1076</v>
      </c>
      <c r="B263" t="s">
        <v>1077</v>
      </c>
      <c r="C263" s="327" t="s">
        <v>3372</v>
      </c>
      <c r="D263" s="327" t="str">
        <f t="shared" si="8"/>
        <v>NACE C - 23.6 Manufacture of articles of concrete, cement and plaster</v>
      </c>
      <c r="K263" t="s">
        <v>4916</v>
      </c>
    </row>
    <row r="264" spans="1:11" x14ac:dyDescent="0.35">
      <c r="A264" s="328" t="s">
        <v>1078</v>
      </c>
      <c r="B264" t="s">
        <v>1079</v>
      </c>
      <c r="C264" s="327" t="s">
        <v>3373</v>
      </c>
      <c r="D264" s="328" t="str">
        <f t="shared" si="8"/>
        <v>NACE C - 23.61 Manufacture of concrete products for construction purposes</v>
      </c>
      <c r="K264" t="s">
        <v>4917</v>
      </c>
    </row>
    <row r="265" spans="1:11" x14ac:dyDescent="0.35">
      <c r="A265" s="328" t="s">
        <v>1080</v>
      </c>
      <c r="B265" t="s">
        <v>1081</v>
      </c>
      <c r="C265" s="325" t="s">
        <v>3362</v>
      </c>
      <c r="D265" s="328" t="str">
        <f t="shared" si="8"/>
        <v>NACE C - 23.62 Manufacture of plaster products for construction purposes</v>
      </c>
      <c r="K265" t="s">
        <v>4918</v>
      </c>
    </row>
    <row r="266" spans="1:11" x14ac:dyDescent="0.35">
      <c r="A266" s="328" t="s">
        <v>1082</v>
      </c>
      <c r="B266" t="s">
        <v>1083</v>
      </c>
      <c r="C266" s="324" t="s">
        <v>3375</v>
      </c>
      <c r="D266" s="328" t="str">
        <f t="shared" si="8"/>
        <v>NACE C - 23.63 Manufacture of ready-mixed concrete</v>
      </c>
      <c r="K266" t="s">
        <v>4919</v>
      </c>
    </row>
    <row r="267" spans="1:11" x14ac:dyDescent="0.35">
      <c r="A267" s="328" t="s">
        <v>1084</v>
      </c>
      <c r="B267" t="s">
        <v>1085</v>
      </c>
      <c r="C267" s="327" t="s">
        <v>3376</v>
      </c>
      <c r="D267" s="328" t="str">
        <f t="shared" si="8"/>
        <v>NACE C - 23.64 Manufacture of mortars</v>
      </c>
      <c r="K267" t="s">
        <v>4920</v>
      </c>
    </row>
    <row r="268" spans="1:11" x14ac:dyDescent="0.35">
      <c r="A268" s="328" t="s">
        <v>1086</v>
      </c>
      <c r="B268" t="s">
        <v>1087</v>
      </c>
      <c r="C268" s="327" t="s">
        <v>3377</v>
      </c>
      <c r="D268" s="328" t="str">
        <f t="shared" si="8"/>
        <v>NACE C - 23.65 Manufacture of fibre cement</v>
      </c>
      <c r="K268" t="s">
        <v>4921</v>
      </c>
    </row>
    <row r="269" spans="1:11" x14ac:dyDescent="0.35">
      <c r="A269" s="328" t="s">
        <v>1088</v>
      </c>
      <c r="B269" t="s">
        <v>1089</v>
      </c>
      <c r="C269" s="327" t="s">
        <v>3378</v>
      </c>
      <c r="D269" s="328" t="str">
        <f t="shared" si="8"/>
        <v>NACE C - 23.66 Manufacture of other articles of concrete, cement and plaster</v>
      </c>
      <c r="K269" t="s">
        <v>4922</v>
      </c>
    </row>
    <row r="270" spans="1:11" x14ac:dyDescent="0.35">
      <c r="A270" s="327" t="s">
        <v>1090</v>
      </c>
      <c r="B270" t="s">
        <v>1091</v>
      </c>
      <c r="C270" s="327" t="s">
        <v>3379</v>
      </c>
      <c r="D270" s="327" t="str">
        <f t="shared" si="8"/>
        <v>NACE C - 23.7 Cutting, shaping and finishing of stone</v>
      </c>
      <c r="K270" t="s">
        <v>4923</v>
      </c>
    </row>
    <row r="271" spans="1:11" x14ac:dyDescent="0.35">
      <c r="A271" s="328" t="s">
        <v>1092</v>
      </c>
      <c r="B271" t="s">
        <v>1093</v>
      </c>
      <c r="C271" s="324" t="s">
        <v>3380</v>
      </c>
      <c r="D271" s="328" t="str">
        <f t="shared" si="8"/>
        <v>NACE C - 23.70 Cutting, shaping and finishing of stone</v>
      </c>
      <c r="K271" t="s">
        <v>4924</v>
      </c>
    </row>
    <row r="272" spans="1:11" x14ac:dyDescent="0.35">
      <c r="A272" s="327" t="s">
        <v>1094</v>
      </c>
      <c r="B272" t="s">
        <v>1095</v>
      </c>
      <c r="C272" s="327" t="s">
        <v>3381</v>
      </c>
      <c r="D272" s="327" t="str">
        <f t="shared" si="8"/>
        <v>NACE C - 23.9 Manufacture of abrasive products and non-metallic mineral products n.e.c.</v>
      </c>
      <c r="K272" t="s">
        <v>4925</v>
      </c>
    </row>
    <row r="273" spans="1:11" x14ac:dyDescent="0.35">
      <c r="A273" s="328" t="s">
        <v>1096</v>
      </c>
      <c r="B273" t="s">
        <v>1097</v>
      </c>
      <c r="C273" s="327" t="s">
        <v>3382</v>
      </c>
      <c r="D273" s="328" t="str">
        <f t="shared" si="8"/>
        <v>NACE C - 23.91 Manufacture of abrasive products</v>
      </c>
      <c r="K273" t="s">
        <v>4926</v>
      </c>
    </row>
    <row r="274" spans="1:11" x14ac:dyDescent="0.35">
      <c r="A274" s="328" t="s">
        <v>1098</v>
      </c>
      <c r="B274" t="s">
        <v>1099</v>
      </c>
      <c r="C274" s="327" t="s">
        <v>3383</v>
      </c>
      <c r="D274" s="328" t="str">
        <f t="shared" si="8"/>
        <v>NACE C - 23.99 Manufacture of other non-metallic mineral products n.e.c.</v>
      </c>
      <c r="K274" t="s">
        <v>4927</v>
      </c>
    </row>
    <row r="275" spans="1:11" x14ac:dyDescent="0.35">
      <c r="A275" s="324" t="s">
        <v>1100</v>
      </c>
      <c r="B275" t="s">
        <v>1101</v>
      </c>
      <c r="C275" s="324" t="s">
        <v>3384</v>
      </c>
      <c r="D275" s="324" t="str">
        <f t="shared" si="8"/>
        <v>NACE C - 24 Manufacture of basic metals</v>
      </c>
      <c r="K275" t="s">
        <v>4928</v>
      </c>
    </row>
    <row r="276" spans="1:11" x14ac:dyDescent="0.35">
      <c r="A276" s="327" t="s">
        <v>1102</v>
      </c>
      <c r="B276" t="s">
        <v>1103</v>
      </c>
      <c r="C276" s="327" t="s">
        <v>3385</v>
      </c>
      <c r="D276" s="327" t="str">
        <f t="shared" si="8"/>
        <v>NACE C - 24.1 Manufacture of basic iron and steel and of ferro-alloys</v>
      </c>
      <c r="K276" t="s">
        <v>4929</v>
      </c>
    </row>
    <row r="277" spans="1:11" x14ac:dyDescent="0.35">
      <c r="A277" s="328" t="s">
        <v>1104</v>
      </c>
      <c r="B277" t="s">
        <v>1105</v>
      </c>
      <c r="C277" s="327" t="s">
        <v>3386</v>
      </c>
      <c r="D277" s="328" t="str">
        <f t="shared" si="8"/>
        <v>NACE C - 24.10 Manufacture of basic iron and steel and of ferro-alloys</v>
      </c>
      <c r="K277" t="s">
        <v>4930</v>
      </c>
    </row>
    <row r="278" spans="1:11" x14ac:dyDescent="0.35">
      <c r="A278" s="327" t="s">
        <v>1106</v>
      </c>
      <c r="B278" t="s">
        <v>1107</v>
      </c>
      <c r="C278" s="327" t="s">
        <v>3387</v>
      </c>
      <c r="D278" s="327" t="str">
        <f t="shared" si="8"/>
        <v>NACE C - 24.2 Manufacture of tubes, pipes, hollow profiles and related fittings, of steel</v>
      </c>
      <c r="K278" t="s">
        <v>4931</v>
      </c>
    </row>
    <row r="279" spans="1:11" x14ac:dyDescent="0.35">
      <c r="A279" s="328" t="s">
        <v>1108</v>
      </c>
      <c r="B279" t="s">
        <v>1109</v>
      </c>
      <c r="C279" s="325" t="s">
        <v>3374</v>
      </c>
      <c r="D279" s="328" t="str">
        <f t="shared" si="8"/>
        <v>NACE C - 24.20 Manufacture of tubes, pipes, hollow profiles and related fittings, of steel</v>
      </c>
      <c r="K279" t="s">
        <v>4932</v>
      </c>
    </row>
    <row r="280" spans="1:11" x14ac:dyDescent="0.35">
      <c r="A280" s="327" t="s">
        <v>1110</v>
      </c>
      <c r="B280" t="s">
        <v>1111</v>
      </c>
      <c r="C280" s="324" t="s">
        <v>3389</v>
      </c>
      <c r="D280" s="327" t="str">
        <f t="shared" si="8"/>
        <v>NACE C - 24.3 Manufacture of other products of first processing of steel</v>
      </c>
      <c r="K280" t="s">
        <v>4933</v>
      </c>
    </row>
    <row r="281" spans="1:11" x14ac:dyDescent="0.35">
      <c r="A281" s="328" t="s">
        <v>1112</v>
      </c>
      <c r="B281" t="s">
        <v>1113</v>
      </c>
      <c r="C281" s="327" t="s">
        <v>3390</v>
      </c>
      <c r="D281" s="328" t="str">
        <f t="shared" si="8"/>
        <v>NACE C - 24.31 Cold drawing of bars</v>
      </c>
      <c r="K281" t="s">
        <v>4934</v>
      </c>
    </row>
    <row r="282" spans="1:11" x14ac:dyDescent="0.35">
      <c r="A282" s="328" t="s">
        <v>1114</v>
      </c>
      <c r="B282" t="s">
        <v>1115</v>
      </c>
      <c r="C282" s="327" t="s">
        <v>3391</v>
      </c>
      <c r="D282" s="328" t="str">
        <f t="shared" si="8"/>
        <v>NACE C - 24.32 Cold rolling of narrow strip</v>
      </c>
      <c r="K282" t="s">
        <v>4935</v>
      </c>
    </row>
    <row r="283" spans="1:11" x14ac:dyDescent="0.35">
      <c r="A283" s="328" t="s">
        <v>1116</v>
      </c>
      <c r="B283" t="s">
        <v>1117</v>
      </c>
      <c r="C283" s="327" t="s">
        <v>3392</v>
      </c>
      <c r="D283" s="328" t="str">
        <f t="shared" si="8"/>
        <v>NACE C - 24.33 Cold forming or folding</v>
      </c>
      <c r="K283" t="s">
        <v>4936</v>
      </c>
    </row>
    <row r="284" spans="1:11" x14ac:dyDescent="0.35">
      <c r="A284" s="328" t="s">
        <v>1118</v>
      </c>
      <c r="B284" t="s">
        <v>1119</v>
      </c>
      <c r="C284" s="325" t="s">
        <v>3388</v>
      </c>
      <c r="D284" s="328" t="str">
        <f t="shared" si="8"/>
        <v>NACE C - 24.34 Cold drawing of wire</v>
      </c>
      <c r="K284" t="s">
        <v>4937</v>
      </c>
    </row>
    <row r="285" spans="1:11" x14ac:dyDescent="0.35">
      <c r="A285" s="327" t="s">
        <v>1120</v>
      </c>
      <c r="B285" t="s">
        <v>1121</v>
      </c>
      <c r="C285" s="324" t="s">
        <v>3394</v>
      </c>
      <c r="D285" s="327" t="str">
        <f t="shared" si="8"/>
        <v>NACE C - 24.4 Manufacture of basic precious and other non-ferrous metals</v>
      </c>
      <c r="K285" t="s">
        <v>4938</v>
      </c>
    </row>
    <row r="286" spans="1:11" x14ac:dyDescent="0.35">
      <c r="A286" s="328" t="s">
        <v>1122</v>
      </c>
      <c r="B286" t="s">
        <v>1123</v>
      </c>
      <c r="C286" s="327" t="s">
        <v>3395</v>
      </c>
      <c r="D286" s="328" t="str">
        <f t="shared" si="8"/>
        <v>NACE C - 24.41 Precious metals production</v>
      </c>
      <c r="K286" t="s">
        <v>4939</v>
      </c>
    </row>
    <row r="287" spans="1:11" x14ac:dyDescent="0.35">
      <c r="A287" s="328" t="s">
        <v>1124</v>
      </c>
      <c r="B287" t="s">
        <v>1125</v>
      </c>
      <c r="C287" s="327" t="s">
        <v>3396</v>
      </c>
      <c r="D287" s="328" t="str">
        <f t="shared" si="8"/>
        <v>NACE C - 24.42 Aluminium production</v>
      </c>
      <c r="K287" t="s">
        <v>4940</v>
      </c>
    </row>
    <row r="288" spans="1:11" x14ac:dyDescent="0.35">
      <c r="A288" s="328" t="s">
        <v>1126</v>
      </c>
      <c r="B288" t="s">
        <v>1127</v>
      </c>
      <c r="C288" s="324" t="s">
        <v>3397</v>
      </c>
      <c r="D288" s="328" t="str">
        <f t="shared" si="8"/>
        <v>NACE C - 24.43 Lead, zinc and tin production</v>
      </c>
      <c r="K288" t="s">
        <v>4941</v>
      </c>
    </row>
    <row r="289" spans="1:11" x14ac:dyDescent="0.35">
      <c r="A289" s="328" t="s">
        <v>1128</v>
      </c>
      <c r="B289" t="s">
        <v>1129</v>
      </c>
      <c r="C289" s="327" t="s">
        <v>3398</v>
      </c>
      <c r="D289" s="328" t="str">
        <f t="shared" si="8"/>
        <v>NACE C - 24.44 Copper production</v>
      </c>
      <c r="K289" t="s">
        <v>4942</v>
      </c>
    </row>
    <row r="290" spans="1:11" x14ac:dyDescent="0.35">
      <c r="A290" s="328" t="s">
        <v>1130</v>
      </c>
      <c r="B290" t="s">
        <v>1131</v>
      </c>
      <c r="C290" s="327" t="s">
        <v>3399</v>
      </c>
      <c r="D290" s="328" t="str">
        <f t="shared" si="8"/>
        <v>NACE C - 24.45 Other non-ferrous metal production</v>
      </c>
      <c r="K290" t="s">
        <v>4943</v>
      </c>
    </row>
    <row r="291" spans="1:11" x14ac:dyDescent="0.35">
      <c r="A291" s="328" t="s">
        <v>1132</v>
      </c>
      <c r="B291" t="s">
        <v>1133</v>
      </c>
      <c r="C291" s="324" t="s">
        <v>3400</v>
      </c>
      <c r="D291" s="328" t="str">
        <f t="shared" si="8"/>
        <v>NACE C - 24.46 Processing of nuclear fuel</v>
      </c>
      <c r="K291" t="s">
        <v>4944</v>
      </c>
    </row>
    <row r="292" spans="1:11" x14ac:dyDescent="0.35">
      <c r="A292" s="327" t="s">
        <v>1134</v>
      </c>
      <c r="B292" t="s">
        <v>1135</v>
      </c>
      <c r="C292" s="327" t="s">
        <v>3401</v>
      </c>
      <c r="D292" s="327" t="str">
        <f t="shared" si="8"/>
        <v>NACE C - 24.5 Casting of metals</v>
      </c>
      <c r="K292" t="s">
        <v>4945</v>
      </c>
    </row>
    <row r="293" spans="1:11" x14ac:dyDescent="0.35">
      <c r="A293" s="328" t="s">
        <v>1136</v>
      </c>
      <c r="B293" t="s">
        <v>1137</v>
      </c>
      <c r="C293" s="327" t="s">
        <v>3402</v>
      </c>
      <c r="D293" s="328" t="str">
        <f t="shared" si="8"/>
        <v>NACE C - 24.51 Casting of iron</v>
      </c>
      <c r="K293" t="s">
        <v>4946</v>
      </c>
    </row>
    <row r="294" spans="1:11" x14ac:dyDescent="0.35">
      <c r="A294" s="328" t="s">
        <v>1138</v>
      </c>
      <c r="B294" t="s">
        <v>1139</v>
      </c>
      <c r="C294" s="324" t="s">
        <v>3403</v>
      </c>
      <c r="D294" s="328" t="str">
        <f t="shared" si="8"/>
        <v>NACE C - 24.52 Casting of steel</v>
      </c>
      <c r="K294" t="s">
        <v>4947</v>
      </c>
    </row>
    <row r="295" spans="1:11" x14ac:dyDescent="0.35">
      <c r="A295" s="328" t="s">
        <v>1140</v>
      </c>
      <c r="B295" t="s">
        <v>1141</v>
      </c>
      <c r="C295" s="327" t="s">
        <v>3404</v>
      </c>
      <c r="D295" s="328" t="str">
        <f t="shared" si="8"/>
        <v>NACE C - 24.53 Casting of light metals</v>
      </c>
      <c r="K295" t="s">
        <v>4948</v>
      </c>
    </row>
    <row r="296" spans="1:11" x14ac:dyDescent="0.35">
      <c r="A296" s="328" t="s">
        <v>1142</v>
      </c>
      <c r="B296" t="s">
        <v>1143</v>
      </c>
      <c r="C296" s="327" t="s">
        <v>3405</v>
      </c>
      <c r="D296" s="328" t="str">
        <f t="shared" si="8"/>
        <v>NACE C - 24.54 Casting of other non-ferrous metals</v>
      </c>
      <c r="K296" t="s">
        <v>4949</v>
      </c>
    </row>
    <row r="297" spans="1:11" x14ac:dyDescent="0.35">
      <c r="A297" s="324" t="s">
        <v>1144</v>
      </c>
      <c r="B297" t="s">
        <v>1145</v>
      </c>
      <c r="C297" s="324" t="s">
        <v>3406</v>
      </c>
      <c r="D297" s="324" t="str">
        <f t="shared" si="8"/>
        <v>NACE C - 25 Manufacture of fabricated metal products, except machinery and equipment</v>
      </c>
      <c r="K297" t="s">
        <v>4950</v>
      </c>
    </row>
    <row r="298" spans="1:11" x14ac:dyDescent="0.35">
      <c r="A298" s="327" t="s">
        <v>1146</v>
      </c>
      <c r="B298" t="s">
        <v>1147</v>
      </c>
      <c r="C298" s="327" t="s">
        <v>3407</v>
      </c>
      <c r="D298" s="327" t="str">
        <f t="shared" si="8"/>
        <v>NACE C - 25.1 Manufacture of structural metal products</v>
      </c>
      <c r="K298" t="s">
        <v>4951</v>
      </c>
    </row>
    <row r="299" spans="1:11" x14ac:dyDescent="0.35">
      <c r="A299" s="328" t="s">
        <v>1148</v>
      </c>
      <c r="B299" t="s">
        <v>1149</v>
      </c>
      <c r="C299" s="327" t="s">
        <v>3408</v>
      </c>
      <c r="D299" s="328" t="str">
        <f t="shared" si="8"/>
        <v>NACE C - 25.11 Manufacture of metal structures and parts of structures</v>
      </c>
      <c r="K299" t="s">
        <v>4648</v>
      </c>
    </row>
    <row r="300" spans="1:11" x14ac:dyDescent="0.35">
      <c r="A300" s="328" t="s">
        <v>1150</v>
      </c>
      <c r="B300" t="s">
        <v>1151</v>
      </c>
      <c r="C300" s="327" t="s">
        <v>3409</v>
      </c>
      <c r="D300" s="328" t="str">
        <f t="shared" si="8"/>
        <v>NACE C - 25.12 Manufacture of doors and windows of metal</v>
      </c>
      <c r="K300" t="s">
        <v>4952</v>
      </c>
    </row>
    <row r="301" spans="1:11" x14ac:dyDescent="0.35">
      <c r="A301" s="327" t="s">
        <v>1152</v>
      </c>
      <c r="B301" t="s">
        <v>1153</v>
      </c>
      <c r="C301" s="324" t="s">
        <v>3410</v>
      </c>
      <c r="D301" s="327" t="str">
        <f t="shared" si="8"/>
        <v>NACE C - 25.2 Manufacture of tanks, reservoirs and containers of metal</v>
      </c>
      <c r="K301" t="s">
        <v>4953</v>
      </c>
    </row>
    <row r="302" spans="1:11" x14ac:dyDescent="0.35">
      <c r="A302" s="328" t="s">
        <v>1154</v>
      </c>
      <c r="B302" t="s">
        <v>1155</v>
      </c>
      <c r="C302" s="327" t="s">
        <v>3411</v>
      </c>
      <c r="D302" s="328" t="str">
        <f t="shared" si="8"/>
        <v>NACE C - 25.21 Manufacture of central heating radiators, steam generators and boilers</v>
      </c>
      <c r="K302" t="s">
        <v>4954</v>
      </c>
    </row>
    <row r="303" spans="1:11" x14ac:dyDescent="0.35">
      <c r="A303" s="328" t="s">
        <v>1156</v>
      </c>
      <c r="B303" t="s">
        <v>1157</v>
      </c>
      <c r="C303" s="327" t="s">
        <v>3412</v>
      </c>
      <c r="D303" s="328" t="str">
        <f t="shared" si="8"/>
        <v>NACE C - 25.22 Manufacture of other tanks, reservoirs and containers of metal</v>
      </c>
      <c r="K303" t="s">
        <v>4955</v>
      </c>
    </row>
    <row r="304" spans="1:11" x14ac:dyDescent="0.35">
      <c r="A304" s="327" t="s">
        <v>1158</v>
      </c>
      <c r="B304" t="s">
        <v>1159</v>
      </c>
      <c r="C304" s="327" t="s">
        <v>3413</v>
      </c>
      <c r="D304" s="327" t="str">
        <f t="shared" si="8"/>
        <v>NACE C - 25.3 Manufacture of weapons and ammunition</v>
      </c>
      <c r="K304" t="s">
        <v>4956</v>
      </c>
    </row>
    <row r="305" spans="1:11" x14ac:dyDescent="0.35">
      <c r="A305" s="328" t="s">
        <v>1160</v>
      </c>
      <c r="B305" t="s">
        <v>1161</v>
      </c>
      <c r="C305" s="327" t="s">
        <v>3414</v>
      </c>
      <c r="D305" s="328" t="str">
        <f t="shared" si="8"/>
        <v>NACE C - 25.30 Manufacture of weapons and ammunition</v>
      </c>
      <c r="K305" t="s">
        <v>4957</v>
      </c>
    </row>
    <row r="306" spans="1:11" x14ac:dyDescent="0.35">
      <c r="A306" s="327" t="s">
        <v>1162</v>
      </c>
      <c r="B306" t="s">
        <v>1163</v>
      </c>
      <c r="C306" s="324" t="s">
        <v>3415</v>
      </c>
      <c r="D306" s="327" t="str">
        <f t="shared" si="8"/>
        <v>NACE C - 25.4 Forging and shaping metal and powder metallurgy</v>
      </c>
      <c r="K306" t="s">
        <v>4958</v>
      </c>
    </row>
    <row r="307" spans="1:11" x14ac:dyDescent="0.35">
      <c r="A307" s="328" t="s">
        <v>1164</v>
      </c>
      <c r="B307" t="s">
        <v>1165</v>
      </c>
      <c r="C307" s="327" t="s">
        <v>3416</v>
      </c>
      <c r="D307" s="328" t="str">
        <f t="shared" si="8"/>
        <v>NACE C - 25.40 Forging and shaping metal and powder metallurgy</v>
      </c>
      <c r="K307" t="s">
        <v>4959</v>
      </c>
    </row>
    <row r="308" spans="1:11" x14ac:dyDescent="0.35">
      <c r="A308" s="327" t="s">
        <v>1166</v>
      </c>
      <c r="B308" t="s">
        <v>1167</v>
      </c>
      <c r="C308" s="325" t="s">
        <v>3393</v>
      </c>
      <c r="D308" s="327" t="str">
        <f t="shared" si="8"/>
        <v>NACE C - 25.5 Treatment and coating of metals; machining</v>
      </c>
      <c r="K308" t="s">
        <v>4960</v>
      </c>
    </row>
    <row r="309" spans="1:11" x14ac:dyDescent="0.35">
      <c r="A309" s="328" t="s">
        <v>1168</v>
      </c>
      <c r="B309" t="s">
        <v>1169</v>
      </c>
      <c r="C309" s="324" t="s">
        <v>3418</v>
      </c>
      <c r="D309" s="328" t="str">
        <f t="shared" si="8"/>
        <v>NACE C - 25.51 Coating of metals</v>
      </c>
      <c r="K309" t="s">
        <v>4961</v>
      </c>
    </row>
    <row r="310" spans="1:11" x14ac:dyDescent="0.35">
      <c r="A310" s="328" t="s">
        <v>1170</v>
      </c>
      <c r="B310" t="s">
        <v>1171</v>
      </c>
      <c r="C310" s="327" t="s">
        <v>3419</v>
      </c>
      <c r="D310" s="328" t="str">
        <f t="shared" si="8"/>
        <v>NACE C - 25.52 Heat treatment of metals</v>
      </c>
      <c r="K310" t="s">
        <v>4962</v>
      </c>
    </row>
    <row r="311" spans="1:11" x14ac:dyDescent="0.35">
      <c r="A311" s="328" t="s">
        <v>1172</v>
      </c>
      <c r="B311" t="s">
        <v>1173</v>
      </c>
      <c r="C311" s="327" t="s">
        <v>3420</v>
      </c>
      <c r="D311" s="328" t="str">
        <f t="shared" si="8"/>
        <v>NACE C - 25.53 Machining of metals</v>
      </c>
      <c r="K311" t="s">
        <v>4963</v>
      </c>
    </row>
    <row r="312" spans="1:11" x14ac:dyDescent="0.35">
      <c r="A312" s="327" t="s">
        <v>1174</v>
      </c>
      <c r="B312" t="s">
        <v>1175</v>
      </c>
      <c r="C312" s="327" t="s">
        <v>3421</v>
      </c>
      <c r="D312" s="327" t="str">
        <f t="shared" si="8"/>
        <v>NACE C - 25.6 Manufacture of cutlery, tools and general hardware</v>
      </c>
      <c r="K312" t="s">
        <v>4964</v>
      </c>
    </row>
    <row r="313" spans="1:11" x14ac:dyDescent="0.35">
      <c r="A313" s="328" t="s">
        <v>1176</v>
      </c>
      <c r="B313" t="s">
        <v>1177</v>
      </c>
      <c r="C313" s="327" t="s">
        <v>3422</v>
      </c>
      <c r="D313" s="328" t="str">
        <f t="shared" si="8"/>
        <v>NACE C - 25.61 Manufacture of cutlery</v>
      </c>
      <c r="K313" t="s">
        <v>4965</v>
      </c>
    </row>
    <row r="314" spans="1:11" x14ac:dyDescent="0.35">
      <c r="A314" s="328" t="s">
        <v>1178</v>
      </c>
      <c r="B314" t="s">
        <v>1179</v>
      </c>
      <c r="C314" s="327" t="s">
        <v>3423</v>
      </c>
      <c r="D314" s="328" t="str">
        <f t="shared" si="8"/>
        <v>NACE C - 25.62 Manufacture of locks and hinges</v>
      </c>
      <c r="K314" t="s">
        <v>4966</v>
      </c>
    </row>
    <row r="315" spans="1:11" x14ac:dyDescent="0.35">
      <c r="A315" s="328" t="s">
        <v>1180</v>
      </c>
      <c r="B315" t="s">
        <v>1181</v>
      </c>
      <c r="C315" s="324" t="s">
        <v>3424</v>
      </c>
      <c r="D315" s="328" t="str">
        <f t="shared" si="8"/>
        <v>NACE C - 25.63 Manufacture of tools</v>
      </c>
      <c r="K315" t="s">
        <v>4967</v>
      </c>
    </row>
    <row r="316" spans="1:11" x14ac:dyDescent="0.35">
      <c r="A316" s="327" t="s">
        <v>1182</v>
      </c>
      <c r="B316" t="s">
        <v>1183</v>
      </c>
      <c r="C316" s="327" t="s">
        <v>3425</v>
      </c>
      <c r="D316" s="327" t="str">
        <f t="shared" si="8"/>
        <v>NACE C - 25.9 Manufacture of other fabricated metal products</v>
      </c>
      <c r="K316" t="s">
        <v>4968</v>
      </c>
    </row>
    <row r="317" spans="1:11" x14ac:dyDescent="0.35">
      <c r="A317" s="328" t="s">
        <v>1184</v>
      </c>
      <c r="B317" t="s">
        <v>1185</v>
      </c>
      <c r="C317" s="327" t="s">
        <v>3426</v>
      </c>
      <c r="D317" s="328" t="str">
        <f t="shared" si="8"/>
        <v>NACE C - 25.91 Manufacture of steel drums and similar containers</v>
      </c>
      <c r="K317" t="s">
        <v>4969</v>
      </c>
    </row>
    <row r="318" spans="1:11" x14ac:dyDescent="0.35">
      <c r="A318" s="328" t="s">
        <v>1186</v>
      </c>
      <c r="B318" t="s">
        <v>1187</v>
      </c>
      <c r="C318" s="324" t="s">
        <v>3427</v>
      </c>
      <c r="D318" s="328" t="str">
        <f t="shared" si="8"/>
        <v>NACE C - 25.92 Manufacture of light metal packaging</v>
      </c>
      <c r="K318" t="s">
        <v>4970</v>
      </c>
    </row>
    <row r="319" spans="1:11" x14ac:dyDescent="0.35">
      <c r="A319" s="328" t="s">
        <v>1188</v>
      </c>
      <c r="B319" t="s">
        <v>1189</v>
      </c>
      <c r="C319" s="327" t="s">
        <v>3428</v>
      </c>
      <c r="D319" s="328" t="str">
        <f t="shared" si="8"/>
        <v>NACE C - 25.93 Manufacture of wire products, chain and springs</v>
      </c>
      <c r="K319" t="s">
        <v>4971</v>
      </c>
    </row>
    <row r="320" spans="1:11" x14ac:dyDescent="0.35">
      <c r="A320" s="328" t="s">
        <v>1190</v>
      </c>
      <c r="B320" t="s">
        <v>1191</v>
      </c>
      <c r="C320" s="327" t="s">
        <v>3429</v>
      </c>
      <c r="D320" s="328" t="str">
        <f t="shared" si="8"/>
        <v>NACE C - 25.94 Manufacture of fasteners and screw machine products</v>
      </c>
      <c r="K320" t="s">
        <v>4972</v>
      </c>
    </row>
    <row r="321" spans="1:11" x14ac:dyDescent="0.35">
      <c r="A321" s="328" t="s">
        <v>1192</v>
      </c>
      <c r="B321" t="s">
        <v>1193</v>
      </c>
      <c r="C321" s="324" t="s">
        <v>3430</v>
      </c>
      <c r="D321" s="328" t="str">
        <f t="shared" si="8"/>
        <v>NACE C - 25.99 Manufacture of other fabricated metal products n.e.c.</v>
      </c>
      <c r="K321" t="s">
        <v>4973</v>
      </c>
    </row>
    <row r="322" spans="1:11" x14ac:dyDescent="0.35">
      <c r="A322" s="324" t="s">
        <v>1194</v>
      </c>
      <c r="B322" t="s">
        <v>1195</v>
      </c>
      <c r="C322" s="327" t="s">
        <v>3431</v>
      </c>
      <c r="D322" s="324" t="str">
        <f t="shared" ref="D322:D385" si="9">_xlfn.CONCAT("NACE ", A322)</f>
        <v>NACE C - 26 Manufacture of computer, electronic and optical products</v>
      </c>
      <c r="K322" t="s">
        <v>4974</v>
      </c>
    </row>
    <row r="323" spans="1:11" x14ac:dyDescent="0.35">
      <c r="A323" s="327" t="s">
        <v>1196</v>
      </c>
      <c r="B323" t="s">
        <v>1197</v>
      </c>
      <c r="C323" s="324" t="s">
        <v>3432</v>
      </c>
      <c r="D323" s="327" t="str">
        <f t="shared" si="9"/>
        <v>NACE C - 26.1 Manufacture of electronic components and boards</v>
      </c>
      <c r="K323" t="s">
        <v>4975</v>
      </c>
    </row>
    <row r="324" spans="1:11" x14ac:dyDescent="0.35">
      <c r="A324" s="328" t="s">
        <v>1198</v>
      </c>
      <c r="B324" t="s">
        <v>1199</v>
      </c>
      <c r="C324" s="327" t="s">
        <v>3433</v>
      </c>
      <c r="D324" s="328" t="str">
        <f t="shared" si="9"/>
        <v>NACE C - 26.11 Manufacture of electronic components</v>
      </c>
      <c r="K324" t="s">
        <v>4976</v>
      </c>
    </row>
    <row r="325" spans="1:11" x14ac:dyDescent="0.35">
      <c r="A325" s="328" t="s">
        <v>1200</v>
      </c>
      <c r="B325" t="s">
        <v>1201</v>
      </c>
      <c r="C325" s="327" t="s">
        <v>3434</v>
      </c>
      <c r="D325" s="328" t="str">
        <f t="shared" si="9"/>
        <v>NACE C - 26.12 Manufacture of loaded electronic boards</v>
      </c>
      <c r="K325" t="s">
        <v>4977</v>
      </c>
    </row>
    <row r="326" spans="1:11" x14ac:dyDescent="0.35">
      <c r="A326" s="327" t="s">
        <v>1202</v>
      </c>
      <c r="B326" t="s">
        <v>1203</v>
      </c>
      <c r="C326" s="327" t="s">
        <v>3435</v>
      </c>
      <c r="D326" s="327" t="str">
        <f t="shared" si="9"/>
        <v>NACE C - 26.2 Manufacture of computers and peripheral equipment</v>
      </c>
      <c r="K326" t="s">
        <v>4978</v>
      </c>
    </row>
    <row r="327" spans="1:11" x14ac:dyDescent="0.35">
      <c r="A327" s="328" t="s">
        <v>1204</v>
      </c>
      <c r="B327" t="s">
        <v>1205</v>
      </c>
      <c r="C327" s="324" t="s">
        <v>3436</v>
      </c>
      <c r="D327" s="328" t="str">
        <f t="shared" si="9"/>
        <v>NACE C - 26.20 Manufacture of computers and peripheral equipment</v>
      </c>
      <c r="K327" t="s">
        <v>4979</v>
      </c>
    </row>
    <row r="328" spans="1:11" x14ac:dyDescent="0.35">
      <c r="A328" s="327" t="s">
        <v>1206</v>
      </c>
      <c r="B328" t="s">
        <v>1207</v>
      </c>
      <c r="C328" s="327" t="s">
        <v>3437</v>
      </c>
      <c r="D328" s="327" t="str">
        <f t="shared" si="9"/>
        <v>NACE C - 26.3 Manufacture of communication equipment</v>
      </c>
      <c r="K328" t="s">
        <v>4980</v>
      </c>
    </row>
    <row r="329" spans="1:11" x14ac:dyDescent="0.35">
      <c r="A329" s="328" t="s">
        <v>1208</v>
      </c>
      <c r="B329" t="s">
        <v>1209</v>
      </c>
      <c r="C329" s="327" t="s">
        <v>3438</v>
      </c>
      <c r="D329" s="328" t="str">
        <f t="shared" si="9"/>
        <v>NACE C - 26.30 Manufacture of communication equipment</v>
      </c>
      <c r="K329" t="s">
        <v>4981</v>
      </c>
    </row>
    <row r="330" spans="1:11" x14ac:dyDescent="0.35">
      <c r="A330" s="327" t="s">
        <v>1210</v>
      </c>
      <c r="B330" t="s">
        <v>1211</v>
      </c>
      <c r="C330" s="327" t="s">
        <v>3439</v>
      </c>
      <c r="D330" s="327" t="str">
        <f t="shared" si="9"/>
        <v>NACE C - 26.4 Manufacture of consumer electronics</v>
      </c>
      <c r="K330" t="s">
        <v>4982</v>
      </c>
    </row>
    <row r="331" spans="1:11" x14ac:dyDescent="0.35">
      <c r="A331" s="328" t="s">
        <v>1212</v>
      </c>
      <c r="B331" t="s">
        <v>1213</v>
      </c>
      <c r="C331" s="327" t="s">
        <v>3440</v>
      </c>
      <c r="D331" s="328" t="str">
        <f t="shared" si="9"/>
        <v>NACE C - 26.40 Manufacture of consumer electronics</v>
      </c>
      <c r="K331" t="s">
        <v>4983</v>
      </c>
    </row>
    <row r="332" spans="1:11" x14ac:dyDescent="0.35">
      <c r="A332" s="327" t="s">
        <v>1214</v>
      </c>
      <c r="B332" t="s">
        <v>1215</v>
      </c>
      <c r="C332" s="327" t="s">
        <v>3441</v>
      </c>
      <c r="D332" s="327" t="str">
        <f t="shared" si="9"/>
        <v>NACE C - 26.5 Manufacture of measuring testing instruments, clocks and watches</v>
      </c>
      <c r="K332" t="s">
        <v>4984</v>
      </c>
    </row>
    <row r="333" spans="1:11" x14ac:dyDescent="0.35">
      <c r="A333" s="328" t="s">
        <v>1216</v>
      </c>
      <c r="B333" t="s">
        <v>1217</v>
      </c>
      <c r="C333" s="325" t="s">
        <v>3417</v>
      </c>
      <c r="D333" s="328" t="str">
        <f t="shared" si="9"/>
        <v>NACE C - 26.51 Manufacture of instruments and appliances for measuring, testing and navigation</v>
      </c>
      <c r="K333" t="s">
        <v>4985</v>
      </c>
    </row>
    <row r="334" spans="1:11" x14ac:dyDescent="0.35">
      <c r="A334" s="328" t="s">
        <v>1218</v>
      </c>
      <c r="B334" t="s">
        <v>1219</v>
      </c>
      <c r="C334" s="324" t="s">
        <v>3443</v>
      </c>
      <c r="D334" s="328" t="str">
        <f t="shared" si="9"/>
        <v>NACE C - 26.52 Manufacture of watches and clocks</v>
      </c>
      <c r="K334" t="s">
        <v>4986</v>
      </c>
    </row>
    <row r="335" spans="1:11" x14ac:dyDescent="0.35">
      <c r="A335" s="327" t="s">
        <v>1220</v>
      </c>
      <c r="B335" t="s">
        <v>1221</v>
      </c>
      <c r="C335" s="327" t="s">
        <v>3444</v>
      </c>
      <c r="D335" s="327" t="str">
        <f t="shared" si="9"/>
        <v>NACE C - 26.6 Manufacture of irradiation, electromedical and electrotherapeutic equipment</v>
      </c>
      <c r="K335" t="s">
        <v>4987</v>
      </c>
    </row>
    <row r="336" spans="1:11" x14ac:dyDescent="0.35">
      <c r="A336" s="328" t="s">
        <v>1222</v>
      </c>
      <c r="B336" t="s">
        <v>1223</v>
      </c>
      <c r="C336" s="327" t="s">
        <v>3445</v>
      </c>
      <c r="D336" s="328" t="str">
        <f t="shared" si="9"/>
        <v>NACE C - 26.60 Manufacture of irradiation, electromedical and electrotherapeutic equipment</v>
      </c>
      <c r="K336" t="s">
        <v>4988</v>
      </c>
    </row>
    <row r="337" spans="1:11" x14ac:dyDescent="0.35">
      <c r="A337" s="327" t="s">
        <v>1224</v>
      </c>
      <c r="B337" t="s">
        <v>1225</v>
      </c>
      <c r="C337" s="327" t="s">
        <v>3446</v>
      </c>
      <c r="D337" s="327" t="str">
        <f t="shared" si="9"/>
        <v>NACE C - 26.7 Manufacture of optical instruments, magnetic and optical media and photographic equipment</v>
      </c>
      <c r="K337" t="s">
        <v>4989</v>
      </c>
    </row>
    <row r="338" spans="1:11" x14ac:dyDescent="0.35">
      <c r="A338" s="328" t="s">
        <v>1226</v>
      </c>
      <c r="B338" t="s">
        <v>1227</v>
      </c>
      <c r="C338" s="325" t="s">
        <v>3442</v>
      </c>
      <c r="D338" s="328" t="str">
        <f t="shared" si="9"/>
        <v>NACE C - 26.70 Manufacture of optical instruments, magnetic and optical media and photographic equipment</v>
      </c>
      <c r="K338" t="s">
        <v>4990</v>
      </c>
    </row>
    <row r="339" spans="1:11" x14ac:dyDescent="0.35">
      <c r="A339" s="324" t="s">
        <v>1228</v>
      </c>
      <c r="B339" t="s">
        <v>1229</v>
      </c>
      <c r="C339" s="324" t="s">
        <v>3448</v>
      </c>
      <c r="D339" s="324" t="str">
        <f t="shared" si="9"/>
        <v>NACE C - 27 Manufacture of electrical equipment</v>
      </c>
      <c r="K339" t="s">
        <v>4991</v>
      </c>
    </row>
    <row r="340" spans="1:11" x14ac:dyDescent="0.35">
      <c r="A340" s="327" t="s">
        <v>1230</v>
      </c>
      <c r="B340" t="s">
        <v>1231</v>
      </c>
      <c r="C340" s="327" t="s">
        <v>3449</v>
      </c>
      <c r="D340" s="327" t="str">
        <f t="shared" si="9"/>
        <v>NACE C - 27.1 Manufacture of electric motors, generators, transformers and electricity distribution and control apparatus</v>
      </c>
      <c r="K340" t="s">
        <v>4992</v>
      </c>
    </row>
    <row r="341" spans="1:11" x14ac:dyDescent="0.35">
      <c r="A341" s="328" t="s">
        <v>1232</v>
      </c>
      <c r="B341" t="s">
        <v>1233</v>
      </c>
      <c r="C341" s="327" t="s">
        <v>3450</v>
      </c>
      <c r="D341" s="328" t="str">
        <f t="shared" si="9"/>
        <v>NACE C - 27.11 Manufacture of electric motors, generators and transformers</v>
      </c>
      <c r="K341" t="s">
        <v>4993</v>
      </c>
    </row>
    <row r="342" spans="1:11" x14ac:dyDescent="0.35">
      <c r="A342" s="328" t="s">
        <v>1234</v>
      </c>
      <c r="B342" t="s">
        <v>1235</v>
      </c>
      <c r="C342" s="327" t="s">
        <v>3451</v>
      </c>
      <c r="D342" s="328" t="str">
        <f t="shared" si="9"/>
        <v>NACE C - 27.12 Manufacture of electricity distribution and control apparatus</v>
      </c>
      <c r="K342" t="s">
        <v>4994</v>
      </c>
    </row>
    <row r="343" spans="1:11" x14ac:dyDescent="0.35">
      <c r="A343" s="327" t="s">
        <v>1236</v>
      </c>
      <c r="B343" t="s">
        <v>1237</v>
      </c>
      <c r="C343" s="327" t="s">
        <v>3452</v>
      </c>
      <c r="D343" s="327" t="str">
        <f t="shared" si="9"/>
        <v>NACE C - 27.2 Manufacture of batteries and accumulators</v>
      </c>
      <c r="K343" t="s">
        <v>4649</v>
      </c>
    </row>
    <row r="344" spans="1:11" x14ac:dyDescent="0.35">
      <c r="A344" s="328" t="s">
        <v>1238</v>
      </c>
      <c r="B344" t="s">
        <v>1239</v>
      </c>
      <c r="C344" s="327" t="s">
        <v>3453</v>
      </c>
      <c r="D344" s="328" t="str">
        <f t="shared" si="9"/>
        <v>NACE C - 27.20 Manufacture of batteries and accumulators</v>
      </c>
      <c r="K344" t="s">
        <v>4995</v>
      </c>
    </row>
    <row r="345" spans="1:11" x14ac:dyDescent="0.35">
      <c r="A345" s="327" t="s">
        <v>1240</v>
      </c>
      <c r="B345" t="s">
        <v>1241</v>
      </c>
      <c r="C345" s="327" t="s">
        <v>3454</v>
      </c>
      <c r="D345" s="327" t="str">
        <f t="shared" si="9"/>
        <v>NACE C - 27.3 Manufacture of wiring and wiring devices</v>
      </c>
      <c r="K345" t="s">
        <v>4996</v>
      </c>
    </row>
    <row r="346" spans="1:11" x14ac:dyDescent="0.35">
      <c r="A346" s="328" t="s">
        <v>1242</v>
      </c>
      <c r="B346" t="s">
        <v>1243</v>
      </c>
      <c r="C346" s="325" t="s">
        <v>3447</v>
      </c>
      <c r="D346" s="328" t="str">
        <f t="shared" si="9"/>
        <v>NACE C - 27.31 Manufacture of fibre optic cables</v>
      </c>
      <c r="K346" t="s">
        <v>4997</v>
      </c>
    </row>
    <row r="347" spans="1:11" x14ac:dyDescent="0.35">
      <c r="A347" s="328" t="s">
        <v>1244</v>
      </c>
      <c r="B347" t="s">
        <v>1245</v>
      </c>
      <c r="C347" s="324" t="s">
        <v>3456</v>
      </c>
      <c r="D347" s="328" t="str">
        <f t="shared" si="9"/>
        <v>NACE C - 27.32 Manufacture of other electronic and electric wires and cables</v>
      </c>
      <c r="K347" t="s">
        <v>4998</v>
      </c>
    </row>
    <row r="348" spans="1:11" x14ac:dyDescent="0.35">
      <c r="A348" s="328" t="s">
        <v>1246</v>
      </c>
      <c r="B348" t="s">
        <v>1247</v>
      </c>
      <c r="C348" s="327" t="s">
        <v>3457</v>
      </c>
      <c r="D348" s="328" t="str">
        <f t="shared" si="9"/>
        <v>NACE C - 27.33 Manufacture of wiring devices</v>
      </c>
      <c r="K348" t="s">
        <v>4999</v>
      </c>
    </row>
    <row r="349" spans="1:11" x14ac:dyDescent="0.35">
      <c r="A349" s="327" t="s">
        <v>1248</v>
      </c>
      <c r="B349" t="s">
        <v>1249</v>
      </c>
      <c r="C349" s="327" t="s">
        <v>3458</v>
      </c>
      <c r="D349" s="327" t="str">
        <f t="shared" si="9"/>
        <v>NACE C - 27.4 Manufacture of lighting equipment</v>
      </c>
      <c r="K349" t="s">
        <v>5000</v>
      </c>
    </row>
    <row r="350" spans="1:11" x14ac:dyDescent="0.35">
      <c r="A350" s="328" t="s">
        <v>1250</v>
      </c>
      <c r="B350" t="s">
        <v>1251</v>
      </c>
      <c r="C350" s="327" t="s">
        <v>3459</v>
      </c>
      <c r="D350" s="328" t="str">
        <f t="shared" si="9"/>
        <v>NACE C - 27.40 Manufacture of lighting equipment</v>
      </c>
      <c r="K350" t="s">
        <v>5001</v>
      </c>
    </row>
    <row r="351" spans="1:11" x14ac:dyDescent="0.35">
      <c r="A351" s="327" t="s">
        <v>1252</v>
      </c>
      <c r="B351" t="s">
        <v>1253</v>
      </c>
      <c r="C351" s="324" t="s">
        <v>3460</v>
      </c>
      <c r="D351" s="327" t="str">
        <f t="shared" si="9"/>
        <v>NACE C - 27.5 Manufacture of domestic appliances</v>
      </c>
      <c r="K351" t="s">
        <v>5002</v>
      </c>
    </row>
    <row r="352" spans="1:11" x14ac:dyDescent="0.35">
      <c r="A352" s="328" t="s">
        <v>1254</v>
      </c>
      <c r="B352" t="s">
        <v>1255</v>
      </c>
      <c r="C352" s="327" t="s">
        <v>3461</v>
      </c>
      <c r="D352" s="328" t="str">
        <f t="shared" si="9"/>
        <v>NACE C - 27.51 Manufacture of electric domestic appliances</v>
      </c>
      <c r="K352" t="s">
        <v>5003</v>
      </c>
    </row>
    <row r="353" spans="1:11" x14ac:dyDescent="0.35">
      <c r="A353" s="328" t="s">
        <v>1256</v>
      </c>
      <c r="B353" t="s">
        <v>1257</v>
      </c>
      <c r="C353" s="327" t="s">
        <v>3462</v>
      </c>
      <c r="D353" s="328" t="str">
        <f t="shared" si="9"/>
        <v>NACE C - 27.52 Manufacture of non-electric domestic appliances</v>
      </c>
      <c r="K353" t="s">
        <v>5004</v>
      </c>
    </row>
    <row r="354" spans="1:11" x14ac:dyDescent="0.35">
      <c r="A354" s="327" t="s">
        <v>1258</v>
      </c>
      <c r="B354" t="s">
        <v>1259</v>
      </c>
      <c r="C354" s="327" t="s">
        <v>3463</v>
      </c>
      <c r="D354" s="327" t="str">
        <f t="shared" si="9"/>
        <v>NACE C - 27.9 Manufacture of other electrical equipment</v>
      </c>
      <c r="K354" t="s">
        <v>5005</v>
      </c>
    </row>
    <row r="355" spans="1:11" x14ac:dyDescent="0.35">
      <c r="A355" s="328" t="s">
        <v>1260</v>
      </c>
      <c r="B355" t="s">
        <v>1261</v>
      </c>
      <c r="C355" s="327" t="s">
        <v>3464</v>
      </c>
      <c r="D355" s="328" t="str">
        <f t="shared" si="9"/>
        <v>NACE C - 27.90 Manufacture of other electrical equipment</v>
      </c>
      <c r="K355" t="s">
        <v>5006</v>
      </c>
    </row>
    <row r="356" spans="1:11" x14ac:dyDescent="0.35">
      <c r="A356" s="324" t="s">
        <v>1262</v>
      </c>
      <c r="B356" t="s">
        <v>1263</v>
      </c>
      <c r="C356" s="324" t="s">
        <v>3465</v>
      </c>
      <c r="D356" s="324" t="str">
        <f t="shared" si="9"/>
        <v>NACE C - 28 Manufacture of machinery and equipment n.e.c.</v>
      </c>
      <c r="K356" t="s">
        <v>5007</v>
      </c>
    </row>
    <row r="357" spans="1:11" x14ac:dyDescent="0.35">
      <c r="A357" s="327" t="s">
        <v>1264</v>
      </c>
      <c r="B357" t="s">
        <v>1265</v>
      </c>
      <c r="C357" s="327" t="s">
        <v>3466</v>
      </c>
      <c r="D357" s="327" t="str">
        <f t="shared" si="9"/>
        <v>NACE C - 28.1 Manufacture of general-purpose machinery</v>
      </c>
      <c r="K357" t="s">
        <v>5008</v>
      </c>
    </row>
    <row r="358" spans="1:11" x14ac:dyDescent="0.35">
      <c r="A358" s="328" t="s">
        <v>1266</v>
      </c>
      <c r="B358" t="s">
        <v>1267</v>
      </c>
      <c r="C358" s="327" t="s">
        <v>3467</v>
      </c>
      <c r="D358" s="328" t="str">
        <f t="shared" si="9"/>
        <v>NACE C - 28.11 Manufacture of engines and turbines, except aircraft, vehicle and cycle engines</v>
      </c>
      <c r="K358" t="s">
        <v>4650</v>
      </c>
    </row>
    <row r="359" spans="1:11" x14ac:dyDescent="0.35">
      <c r="A359" s="328" t="s">
        <v>1268</v>
      </c>
      <c r="B359" t="s">
        <v>1269</v>
      </c>
      <c r="C359" s="325" t="s">
        <v>3455</v>
      </c>
      <c r="D359" s="328" t="str">
        <f t="shared" si="9"/>
        <v>NACE C - 28.12 Manufacture of fluid power equipment</v>
      </c>
      <c r="K359" t="s">
        <v>5009</v>
      </c>
    </row>
    <row r="360" spans="1:11" x14ac:dyDescent="0.35">
      <c r="A360" s="328" t="s">
        <v>1270</v>
      </c>
      <c r="B360" t="s">
        <v>1271</v>
      </c>
      <c r="C360" s="324" t="s">
        <v>3469</v>
      </c>
      <c r="D360" s="328" t="str">
        <f t="shared" si="9"/>
        <v>NACE C - 28.13 Manufacture of other pumps and compressors</v>
      </c>
      <c r="K360" t="s">
        <v>5010</v>
      </c>
    </row>
    <row r="361" spans="1:11" x14ac:dyDescent="0.35">
      <c r="A361" s="328" t="s">
        <v>1272</v>
      </c>
      <c r="B361" t="s">
        <v>1273</v>
      </c>
      <c r="C361" s="327" t="s">
        <v>3470</v>
      </c>
      <c r="D361" s="328" t="str">
        <f t="shared" si="9"/>
        <v>NACE C - 28.14 Manufacture of other taps and valves</v>
      </c>
      <c r="K361" t="s">
        <v>5011</v>
      </c>
    </row>
    <row r="362" spans="1:11" x14ac:dyDescent="0.35">
      <c r="A362" s="328" t="s">
        <v>1274</v>
      </c>
      <c r="B362" t="s">
        <v>1275</v>
      </c>
      <c r="C362" s="327" t="s">
        <v>3471</v>
      </c>
      <c r="D362" s="328" t="str">
        <f t="shared" si="9"/>
        <v>NACE C - 28.15 Manufacture of bearings, gears, gearing and driving elements</v>
      </c>
      <c r="K362" t="s">
        <v>5012</v>
      </c>
    </row>
    <row r="363" spans="1:11" x14ac:dyDescent="0.35">
      <c r="A363" s="327" t="s">
        <v>1276</v>
      </c>
      <c r="B363" t="s">
        <v>1277</v>
      </c>
      <c r="C363" s="327" t="s">
        <v>3472</v>
      </c>
      <c r="D363" s="327" t="str">
        <f t="shared" si="9"/>
        <v>NACE C - 28.2 Manufacture of other general-purpose machinery</v>
      </c>
      <c r="K363" t="s">
        <v>5013</v>
      </c>
    </row>
    <row r="364" spans="1:11" x14ac:dyDescent="0.35">
      <c r="A364" s="328" t="s">
        <v>1278</v>
      </c>
      <c r="B364" t="s">
        <v>1279</v>
      </c>
      <c r="C364" s="324" t="s">
        <v>3473</v>
      </c>
      <c r="D364" s="328" t="str">
        <f t="shared" si="9"/>
        <v>NACE C - 28.21 Manufacture of ovens, furnaces and permanent household heating equipment</v>
      </c>
      <c r="K364" t="s">
        <v>5014</v>
      </c>
    </row>
    <row r="365" spans="1:11" x14ac:dyDescent="0.35">
      <c r="A365" s="328" t="s">
        <v>1280</v>
      </c>
      <c r="B365" t="s">
        <v>1281</v>
      </c>
      <c r="C365" s="327" t="s">
        <v>3474</v>
      </c>
      <c r="D365" s="328" t="str">
        <f t="shared" si="9"/>
        <v>NACE C - 28.22 Manufacture of lifting and handling equipment</v>
      </c>
      <c r="K365" t="s">
        <v>5015</v>
      </c>
    </row>
    <row r="366" spans="1:11" x14ac:dyDescent="0.35">
      <c r="A366" s="328" t="s">
        <v>1282</v>
      </c>
      <c r="B366" t="s">
        <v>1283</v>
      </c>
      <c r="C366" s="327" t="s">
        <v>3475</v>
      </c>
      <c r="D366" s="328" t="str">
        <f t="shared" si="9"/>
        <v>NACE C - 28.23 Manufacture of office machinery and equipment, except computers and peripheral equipment</v>
      </c>
      <c r="K366" t="s">
        <v>5016</v>
      </c>
    </row>
    <row r="367" spans="1:11" x14ac:dyDescent="0.35">
      <c r="A367" s="328" t="s">
        <v>1284</v>
      </c>
      <c r="B367" t="s">
        <v>1285</v>
      </c>
      <c r="C367" s="327" t="s">
        <v>3476</v>
      </c>
      <c r="D367" s="328" t="str">
        <f t="shared" si="9"/>
        <v>NACE C - 28.24 Manufacture of power-driven hand tools</v>
      </c>
      <c r="K367" t="s">
        <v>5017</v>
      </c>
    </row>
    <row r="368" spans="1:11" x14ac:dyDescent="0.35">
      <c r="A368" s="328" t="s">
        <v>1286</v>
      </c>
      <c r="B368" t="s">
        <v>1287</v>
      </c>
      <c r="C368" s="327" t="s">
        <v>3477</v>
      </c>
      <c r="D368" s="328" t="str">
        <f t="shared" si="9"/>
        <v>NACE C - 28.25 Manufacture of non-domestic air conditioning equipment</v>
      </c>
      <c r="K368" t="s">
        <v>5018</v>
      </c>
    </row>
    <row r="369" spans="1:11" x14ac:dyDescent="0.35">
      <c r="A369" s="328" t="s">
        <v>1288</v>
      </c>
      <c r="B369" t="s">
        <v>1289</v>
      </c>
      <c r="C369" s="324" t="s">
        <v>3478</v>
      </c>
      <c r="D369" s="328" t="str">
        <f t="shared" si="9"/>
        <v>NACE C - 28.29 Manufacture of other general-purpose machinery n.e.c.</v>
      </c>
      <c r="K369" t="s">
        <v>5019</v>
      </c>
    </row>
    <row r="370" spans="1:11" x14ac:dyDescent="0.35">
      <c r="A370" s="327" t="s">
        <v>1290</v>
      </c>
      <c r="B370" t="s">
        <v>1291</v>
      </c>
      <c r="C370" s="327" t="s">
        <v>3479</v>
      </c>
      <c r="D370" s="327" t="str">
        <f t="shared" si="9"/>
        <v>NACE C - 28.3 Manufacture of agricultural and forestry machinery</v>
      </c>
      <c r="K370" t="s">
        <v>5020</v>
      </c>
    </row>
    <row r="371" spans="1:11" x14ac:dyDescent="0.35">
      <c r="A371" s="328" t="s">
        <v>1292</v>
      </c>
      <c r="B371" t="s">
        <v>1293</v>
      </c>
      <c r="C371" s="324" t="s">
        <v>3480</v>
      </c>
      <c r="D371" s="328" t="str">
        <f t="shared" si="9"/>
        <v>NACE C - 28.30 Manufacture of agricultural and forestry machinery</v>
      </c>
      <c r="K371" t="s">
        <v>5021</v>
      </c>
    </row>
    <row r="372" spans="1:11" x14ac:dyDescent="0.35">
      <c r="A372" s="327" t="s">
        <v>1294</v>
      </c>
      <c r="B372" t="s">
        <v>1295</v>
      </c>
      <c r="C372" s="327" t="s">
        <v>3481</v>
      </c>
      <c r="D372" s="327" t="str">
        <f t="shared" si="9"/>
        <v>NACE C - 28.4 Manufacture of metal forming machinery and machine tools</v>
      </c>
      <c r="K372" t="s">
        <v>5022</v>
      </c>
    </row>
    <row r="373" spans="1:11" x14ac:dyDescent="0.35">
      <c r="A373" s="328" t="s">
        <v>1296</v>
      </c>
      <c r="B373" t="s">
        <v>1297</v>
      </c>
      <c r="C373" s="327" t="s">
        <v>3482</v>
      </c>
      <c r="D373" s="328" t="str">
        <f t="shared" si="9"/>
        <v>NACE C - 28.41 Manufacture of metal forming machinery and machine tools for metal work</v>
      </c>
      <c r="K373" t="s">
        <v>5023</v>
      </c>
    </row>
    <row r="374" spans="1:11" x14ac:dyDescent="0.35">
      <c r="A374" s="328" t="s">
        <v>1298</v>
      </c>
      <c r="B374" t="s">
        <v>1299</v>
      </c>
      <c r="C374" s="325" t="s">
        <v>3468</v>
      </c>
      <c r="D374" s="328" t="str">
        <f t="shared" si="9"/>
        <v>NACE C - 28.42 Manufacture of other machine tools</v>
      </c>
      <c r="K374" t="s">
        <v>5024</v>
      </c>
    </row>
    <row r="375" spans="1:11" x14ac:dyDescent="0.35">
      <c r="A375" s="327" t="s">
        <v>1300</v>
      </c>
      <c r="B375" t="s">
        <v>1301</v>
      </c>
      <c r="C375" s="324" t="s">
        <v>3484</v>
      </c>
      <c r="D375" s="327" t="str">
        <f t="shared" si="9"/>
        <v>NACE C - 28.9 Manufacture of other special-purpose machinery</v>
      </c>
      <c r="K375" t="s">
        <v>5025</v>
      </c>
    </row>
    <row r="376" spans="1:11" x14ac:dyDescent="0.35">
      <c r="A376" s="328" t="s">
        <v>1302</v>
      </c>
      <c r="B376" t="s">
        <v>1303</v>
      </c>
      <c r="C376" s="327" t="s">
        <v>3485</v>
      </c>
      <c r="D376" s="328" t="str">
        <f t="shared" si="9"/>
        <v>NACE C - 28.91 Manufacture of machinery for metallurgy</v>
      </c>
      <c r="K376" t="s">
        <v>5026</v>
      </c>
    </row>
    <row r="377" spans="1:11" x14ac:dyDescent="0.35">
      <c r="A377" s="328" t="s">
        <v>1304</v>
      </c>
      <c r="B377" t="s">
        <v>1305</v>
      </c>
      <c r="C377" s="327" t="s">
        <v>3486</v>
      </c>
      <c r="D377" s="328" t="str">
        <f t="shared" si="9"/>
        <v>NACE C - 28.92 Manufacture of machinery for mining, quarrying and construction</v>
      </c>
      <c r="K377" t="s">
        <v>5027</v>
      </c>
    </row>
    <row r="378" spans="1:11" x14ac:dyDescent="0.35">
      <c r="A378" s="328" t="s">
        <v>1306</v>
      </c>
      <c r="B378" t="s">
        <v>1307</v>
      </c>
      <c r="C378" s="327" t="s">
        <v>3487</v>
      </c>
      <c r="D378" s="328" t="str">
        <f t="shared" si="9"/>
        <v>NACE C - 28.93 Manufacture of machinery for food, beverage and tobacco processing</v>
      </c>
      <c r="K378" t="s">
        <v>5028</v>
      </c>
    </row>
    <row r="379" spans="1:11" x14ac:dyDescent="0.35">
      <c r="A379" s="328" t="s">
        <v>1308</v>
      </c>
      <c r="B379" t="s">
        <v>1309</v>
      </c>
      <c r="C379" s="324" t="s">
        <v>3488</v>
      </c>
      <c r="D379" s="328" t="str">
        <f t="shared" si="9"/>
        <v>NACE C - 28.94 Manufacture of machinery for textile, apparel and leather production</v>
      </c>
      <c r="K379" t="s">
        <v>5029</v>
      </c>
    </row>
    <row r="380" spans="1:11" x14ac:dyDescent="0.35">
      <c r="A380" s="328" t="s">
        <v>1310</v>
      </c>
      <c r="B380" t="s">
        <v>1311</v>
      </c>
      <c r="C380" s="327" t="s">
        <v>3489</v>
      </c>
      <c r="D380" s="328" t="str">
        <f t="shared" si="9"/>
        <v>NACE C - 28.95 Manufacture of machinery for paper and paperboard production</v>
      </c>
      <c r="K380" t="s">
        <v>5030</v>
      </c>
    </row>
    <row r="381" spans="1:11" x14ac:dyDescent="0.35">
      <c r="A381" s="328" t="s">
        <v>1312</v>
      </c>
      <c r="B381" t="s">
        <v>1313</v>
      </c>
      <c r="C381" s="327" t="s">
        <v>3490</v>
      </c>
      <c r="D381" s="328" t="str">
        <f t="shared" si="9"/>
        <v>NACE C - 28.96 Manufacture of plastics and rubber machinery</v>
      </c>
      <c r="K381" t="s">
        <v>5031</v>
      </c>
    </row>
    <row r="382" spans="1:11" x14ac:dyDescent="0.35">
      <c r="A382" s="328" t="s">
        <v>1314</v>
      </c>
      <c r="B382" t="s">
        <v>1315</v>
      </c>
      <c r="C382" s="327" t="s">
        <v>3491</v>
      </c>
      <c r="D382" s="328" t="str">
        <f t="shared" si="9"/>
        <v>NACE C - 28.97 Manufacture of additive manufacturing machinery</v>
      </c>
      <c r="K382" t="s">
        <v>5032</v>
      </c>
    </row>
    <row r="383" spans="1:11" x14ac:dyDescent="0.35">
      <c r="A383" s="328" t="s">
        <v>1316</v>
      </c>
      <c r="B383" t="s">
        <v>1317</v>
      </c>
      <c r="C383" s="327" t="s">
        <v>3492</v>
      </c>
      <c r="D383" s="328" t="str">
        <f t="shared" si="9"/>
        <v>NACE C - 28.99 Manufacture of other special-purpose machinery n.e.c.</v>
      </c>
      <c r="K383" t="s">
        <v>5033</v>
      </c>
    </row>
    <row r="384" spans="1:11" x14ac:dyDescent="0.35">
      <c r="A384" s="324" t="s">
        <v>1318</v>
      </c>
      <c r="B384" t="s">
        <v>1319</v>
      </c>
      <c r="C384" s="324" t="s">
        <v>3493</v>
      </c>
      <c r="D384" s="324" t="str">
        <f t="shared" si="9"/>
        <v>NACE C - 29 Manufacture of motor vehicles, trailers and semi-trailers</v>
      </c>
      <c r="K384" t="s">
        <v>5034</v>
      </c>
    </row>
    <row r="385" spans="1:11" x14ac:dyDescent="0.35">
      <c r="A385" s="327" t="s">
        <v>1320</v>
      </c>
      <c r="B385" t="s">
        <v>1321</v>
      </c>
      <c r="C385" s="327" t="s">
        <v>3494</v>
      </c>
      <c r="D385" s="327" t="str">
        <f t="shared" si="9"/>
        <v>NACE C - 29.1 Manufacture of motor vehicles</v>
      </c>
      <c r="K385" t="s">
        <v>5035</v>
      </c>
    </row>
    <row r="386" spans="1:11" x14ac:dyDescent="0.35">
      <c r="A386" s="328" t="s">
        <v>1322</v>
      </c>
      <c r="B386" t="s">
        <v>1323</v>
      </c>
      <c r="C386" s="327" t="s">
        <v>3495</v>
      </c>
      <c r="D386" s="328" t="str">
        <f t="shared" ref="D386:D449" si="10">_xlfn.CONCAT("NACE ", A386)</f>
        <v>NACE C - 29.10 Manufacture of motor vehicles</v>
      </c>
      <c r="K386" t="s">
        <v>5036</v>
      </c>
    </row>
    <row r="387" spans="1:11" x14ac:dyDescent="0.35">
      <c r="A387" s="327" t="s">
        <v>1324</v>
      </c>
      <c r="B387" t="s">
        <v>1325</v>
      </c>
      <c r="C387" s="327" t="s">
        <v>3496</v>
      </c>
      <c r="D387" s="327" t="str">
        <f t="shared" si="10"/>
        <v>NACE C - 29.2 Manufacture of bodies and coachwork for motor vehicles; manufacture of trailers and semi-trailers</v>
      </c>
      <c r="K387" t="s">
        <v>5037</v>
      </c>
    </row>
    <row r="388" spans="1:11" x14ac:dyDescent="0.35">
      <c r="A388" s="328" t="s">
        <v>1326</v>
      </c>
      <c r="B388" t="s">
        <v>1327</v>
      </c>
      <c r="C388" s="327" t="s">
        <v>3497</v>
      </c>
      <c r="D388" s="328" t="str">
        <f t="shared" si="10"/>
        <v>NACE C - 29.20 Manufacture of bodies and coachwork for motor vehicles; manufacture of trailers and semi-trailers</v>
      </c>
      <c r="K388" t="s">
        <v>5038</v>
      </c>
    </row>
    <row r="389" spans="1:11" x14ac:dyDescent="0.35">
      <c r="A389" s="327" t="s">
        <v>1328</v>
      </c>
      <c r="B389" t="s">
        <v>1329</v>
      </c>
      <c r="C389" s="327" t="s">
        <v>3498</v>
      </c>
      <c r="D389" s="327" t="str">
        <f t="shared" si="10"/>
        <v>NACE C - 29.3 Manufacture of motor vehicle parts and accessories</v>
      </c>
      <c r="K389" t="s">
        <v>5039</v>
      </c>
    </row>
    <row r="390" spans="1:11" x14ac:dyDescent="0.35">
      <c r="A390" s="328" t="s">
        <v>1330</v>
      </c>
      <c r="B390" t="s">
        <v>1331</v>
      </c>
      <c r="C390" s="325" t="s">
        <v>3483</v>
      </c>
      <c r="D390" s="328" t="str">
        <f t="shared" si="10"/>
        <v>NACE C - 29.31 Manufacture of electrical and electronic equipment for motor vehicles</v>
      </c>
      <c r="K390" t="s">
        <v>5040</v>
      </c>
    </row>
    <row r="391" spans="1:11" x14ac:dyDescent="0.35">
      <c r="A391" s="328" t="s">
        <v>1332</v>
      </c>
      <c r="B391" t="s">
        <v>1333</v>
      </c>
      <c r="C391" s="324" t="s">
        <v>3500</v>
      </c>
      <c r="D391" s="328" t="str">
        <f t="shared" si="10"/>
        <v>NACE C - 29.32 Manufacture of other parts and accessories for motor vehicles</v>
      </c>
      <c r="K391" t="s">
        <v>5041</v>
      </c>
    </row>
    <row r="392" spans="1:11" x14ac:dyDescent="0.35">
      <c r="A392" s="324" t="s">
        <v>1334</v>
      </c>
      <c r="B392" t="s">
        <v>1335</v>
      </c>
      <c r="C392" s="327" t="s">
        <v>3501</v>
      </c>
      <c r="D392" s="324" t="str">
        <f t="shared" si="10"/>
        <v>NACE C - 30 Manufacture of other transport equipment</v>
      </c>
      <c r="K392" t="s">
        <v>5042</v>
      </c>
    </row>
    <row r="393" spans="1:11" x14ac:dyDescent="0.35">
      <c r="A393" s="327" t="s">
        <v>1336</v>
      </c>
      <c r="B393" t="s">
        <v>1337</v>
      </c>
      <c r="C393" s="324" t="s">
        <v>3502</v>
      </c>
      <c r="D393" s="327" t="str">
        <f t="shared" si="10"/>
        <v>NACE C - 30.1 Building of ships and boats</v>
      </c>
      <c r="K393" t="s">
        <v>5043</v>
      </c>
    </row>
    <row r="394" spans="1:11" x14ac:dyDescent="0.35">
      <c r="A394" s="328" t="s">
        <v>1338</v>
      </c>
      <c r="B394" t="s">
        <v>1339</v>
      </c>
      <c r="C394" s="327" t="s">
        <v>3503</v>
      </c>
      <c r="D394" s="328" t="str">
        <f t="shared" si="10"/>
        <v>NACE C - 30.11 Building of civilian ships and floating structures</v>
      </c>
      <c r="K394" t="s">
        <v>5044</v>
      </c>
    </row>
    <row r="395" spans="1:11" x14ac:dyDescent="0.35">
      <c r="A395" s="328" t="s">
        <v>1340</v>
      </c>
      <c r="B395" t="s">
        <v>1341</v>
      </c>
      <c r="C395" s="327" t="s">
        <v>3504</v>
      </c>
      <c r="D395" s="328" t="str">
        <f t="shared" si="10"/>
        <v>NACE C - 30.12 Building of pleasure and sporting boats</v>
      </c>
      <c r="K395" t="s">
        <v>5045</v>
      </c>
    </row>
    <row r="396" spans="1:11" x14ac:dyDescent="0.35">
      <c r="A396" s="328" t="s">
        <v>1342</v>
      </c>
      <c r="B396" t="s">
        <v>1343</v>
      </c>
      <c r="C396" s="325" t="s">
        <v>3499</v>
      </c>
      <c r="D396" s="328" t="str">
        <f t="shared" si="10"/>
        <v>NACE C - 30.13 Building of military ships and vessels</v>
      </c>
      <c r="K396" t="s">
        <v>5046</v>
      </c>
    </row>
    <row r="397" spans="1:11" x14ac:dyDescent="0.35">
      <c r="A397" s="327" t="s">
        <v>1344</v>
      </c>
      <c r="B397" t="s">
        <v>1345</v>
      </c>
      <c r="C397" s="324" t="s">
        <v>3506</v>
      </c>
      <c r="D397" s="327" t="str">
        <f t="shared" si="10"/>
        <v>NACE C - 30.2 Manufacture of railway locomotives and rolling stock</v>
      </c>
      <c r="K397" t="s">
        <v>5047</v>
      </c>
    </row>
    <row r="398" spans="1:11" x14ac:dyDescent="0.35">
      <c r="A398" s="328" t="s">
        <v>1346</v>
      </c>
      <c r="B398" t="s">
        <v>1347</v>
      </c>
      <c r="C398" s="327" t="s">
        <v>3507</v>
      </c>
      <c r="D398" s="328" t="str">
        <f t="shared" si="10"/>
        <v>NACE C - 30.20 Manufacture of railway locomotives and rolling stock</v>
      </c>
      <c r="K398" t="s">
        <v>5048</v>
      </c>
    </row>
    <row r="399" spans="1:11" x14ac:dyDescent="0.35">
      <c r="A399" s="327" t="s">
        <v>1348</v>
      </c>
      <c r="B399" t="s">
        <v>1349</v>
      </c>
      <c r="C399" s="325" t="s">
        <v>3505</v>
      </c>
      <c r="D399" s="327" t="str">
        <f t="shared" si="10"/>
        <v>NACE C - 30.3 Manufacture of air and spacecraft and related machinery</v>
      </c>
      <c r="K399" t="s">
        <v>5049</v>
      </c>
    </row>
    <row r="400" spans="1:11" x14ac:dyDescent="0.35">
      <c r="A400" s="328" t="s">
        <v>1350</v>
      </c>
      <c r="B400" t="s">
        <v>1351</v>
      </c>
      <c r="D400" s="328" t="str">
        <f t="shared" si="10"/>
        <v>NACE C - 30.31 Manufacture of civilian air and spacecraft and related machinery</v>
      </c>
      <c r="K400" t="s">
        <v>5050</v>
      </c>
    </row>
    <row r="401" spans="1:11" x14ac:dyDescent="0.35">
      <c r="A401" s="328" t="s">
        <v>1352</v>
      </c>
      <c r="B401" t="s">
        <v>1353</v>
      </c>
      <c r="C401" s="328"/>
      <c r="D401" s="328" t="str">
        <f t="shared" si="10"/>
        <v>NACE C - 30.32 Manufacture of military air and spacecraft and related machinery</v>
      </c>
      <c r="K401" t="s">
        <v>5051</v>
      </c>
    </row>
    <row r="402" spans="1:11" x14ac:dyDescent="0.35">
      <c r="A402" s="327" t="s">
        <v>1354</v>
      </c>
      <c r="B402" t="s">
        <v>1355</v>
      </c>
      <c r="C402" s="328"/>
      <c r="D402" s="327" t="str">
        <f t="shared" si="10"/>
        <v>NACE C - 30.4 Manufacture of military fighting vehicles</v>
      </c>
      <c r="K402" t="s">
        <v>5052</v>
      </c>
    </row>
    <row r="403" spans="1:11" x14ac:dyDescent="0.35">
      <c r="A403" s="328" t="s">
        <v>1356</v>
      </c>
      <c r="B403" t="s">
        <v>1357</v>
      </c>
      <c r="C403" s="328"/>
      <c r="D403" s="328" t="str">
        <f t="shared" si="10"/>
        <v>NACE C - 30.40 Manufacture of military fighting vehicles</v>
      </c>
      <c r="K403" t="s">
        <v>5053</v>
      </c>
    </row>
    <row r="404" spans="1:11" x14ac:dyDescent="0.35">
      <c r="A404" s="327" t="s">
        <v>1358</v>
      </c>
      <c r="B404" t="s">
        <v>1359</v>
      </c>
      <c r="C404" s="328"/>
      <c r="D404" s="327" t="str">
        <f t="shared" si="10"/>
        <v>NACE C - 30.9 Manufacture of transport equipment n.e.c.</v>
      </c>
      <c r="K404" t="s">
        <v>5054</v>
      </c>
    </row>
    <row r="405" spans="1:11" x14ac:dyDescent="0.35">
      <c r="A405" s="328" t="s">
        <v>1360</v>
      </c>
      <c r="B405" t="s">
        <v>1361</v>
      </c>
      <c r="C405" s="328"/>
      <c r="D405" s="328" t="str">
        <f t="shared" si="10"/>
        <v>NACE C - 30.91 Manufacture of motorcycles</v>
      </c>
      <c r="K405" t="s">
        <v>5055</v>
      </c>
    </row>
    <row r="406" spans="1:11" x14ac:dyDescent="0.35">
      <c r="A406" s="328" t="s">
        <v>1362</v>
      </c>
      <c r="B406" t="s">
        <v>1363</v>
      </c>
      <c r="C406" s="328"/>
      <c r="D406" s="328" t="str">
        <f t="shared" si="10"/>
        <v>NACE C - 30.92 Manufacture of bicycles and invalid carriages</v>
      </c>
      <c r="K406" t="s">
        <v>5056</v>
      </c>
    </row>
    <row r="407" spans="1:11" x14ac:dyDescent="0.35">
      <c r="A407" s="328" t="s">
        <v>1364</v>
      </c>
      <c r="B407" t="s">
        <v>1365</v>
      </c>
      <c r="C407" s="328"/>
      <c r="D407" s="328" t="str">
        <f t="shared" si="10"/>
        <v>NACE C - 30.99 Manufacture of other transport equipment n.e.c.</v>
      </c>
      <c r="K407" t="s">
        <v>5057</v>
      </c>
    </row>
    <row r="408" spans="1:11" x14ac:dyDescent="0.35">
      <c r="A408" s="324" t="s">
        <v>1366</v>
      </c>
      <c r="B408" t="s">
        <v>1367</v>
      </c>
      <c r="C408" s="328"/>
      <c r="D408" s="324" t="str">
        <f t="shared" si="10"/>
        <v>NACE C - 31 Manufacture of furniture</v>
      </c>
      <c r="K408" t="s">
        <v>5058</v>
      </c>
    </row>
    <row r="409" spans="1:11" x14ac:dyDescent="0.35">
      <c r="A409" s="327" t="s">
        <v>1368</v>
      </c>
      <c r="B409" t="s">
        <v>1369</v>
      </c>
      <c r="C409" s="328"/>
      <c r="D409" s="327" t="str">
        <f t="shared" si="10"/>
        <v>NACE C - 31.0 Manufacture of furniture</v>
      </c>
      <c r="K409" t="s">
        <v>5059</v>
      </c>
    </row>
    <row r="410" spans="1:11" x14ac:dyDescent="0.35">
      <c r="A410" s="328" t="s">
        <v>1370</v>
      </c>
      <c r="B410" t="s">
        <v>1371</v>
      </c>
      <c r="C410" s="328"/>
      <c r="D410" s="328" t="str">
        <f t="shared" si="10"/>
        <v>NACE C - 31.00 Manufacture of furniture</v>
      </c>
      <c r="K410" t="s">
        <v>5060</v>
      </c>
    </row>
    <row r="411" spans="1:11" x14ac:dyDescent="0.35">
      <c r="A411" s="324" t="s">
        <v>1372</v>
      </c>
      <c r="B411" t="s">
        <v>1373</v>
      </c>
      <c r="C411" s="328"/>
      <c r="D411" s="324" t="str">
        <f t="shared" si="10"/>
        <v>NACE C - 32 Other manufacturing</v>
      </c>
      <c r="K411" t="s">
        <v>5061</v>
      </c>
    </row>
    <row r="412" spans="1:11" x14ac:dyDescent="0.35">
      <c r="A412" s="327" t="s">
        <v>1374</v>
      </c>
      <c r="B412" t="s">
        <v>1375</v>
      </c>
      <c r="C412" s="328"/>
      <c r="D412" s="327" t="str">
        <f t="shared" si="10"/>
        <v>NACE C - 32.1 Manufacture of jewellery, bijouterie and related articles</v>
      </c>
      <c r="K412" t="s">
        <v>5062</v>
      </c>
    </row>
    <row r="413" spans="1:11" x14ac:dyDescent="0.35">
      <c r="A413" s="328" t="s">
        <v>1376</v>
      </c>
      <c r="B413" t="s">
        <v>1377</v>
      </c>
      <c r="C413" s="328"/>
      <c r="D413" s="328" t="str">
        <f t="shared" si="10"/>
        <v>NACE C - 32.11 Striking of coins</v>
      </c>
      <c r="K413" t="s">
        <v>5063</v>
      </c>
    </row>
    <row r="414" spans="1:11" x14ac:dyDescent="0.35">
      <c r="A414" s="328" t="s">
        <v>1378</v>
      </c>
      <c r="B414" t="s">
        <v>1379</v>
      </c>
      <c r="C414" s="328"/>
      <c r="D414" s="328" t="str">
        <f t="shared" si="10"/>
        <v>NACE C - 32.12 Manufacture of jewellery and related articles</v>
      </c>
      <c r="K414" t="s">
        <v>5064</v>
      </c>
    </row>
    <row r="415" spans="1:11" x14ac:dyDescent="0.35">
      <c r="A415" s="328" t="s">
        <v>1380</v>
      </c>
      <c r="B415" t="s">
        <v>1381</v>
      </c>
      <c r="C415" s="328"/>
      <c r="D415" s="328" t="str">
        <f t="shared" si="10"/>
        <v>NACE C - 32.13 Manufacture of imitation jewellery and related articles</v>
      </c>
      <c r="K415" t="s">
        <v>5065</v>
      </c>
    </row>
    <row r="416" spans="1:11" x14ac:dyDescent="0.35">
      <c r="A416" s="327" t="s">
        <v>1382</v>
      </c>
      <c r="B416" t="s">
        <v>1383</v>
      </c>
      <c r="C416" s="328"/>
      <c r="D416" s="327" t="str">
        <f t="shared" si="10"/>
        <v>NACE C - 32.2 Manufacture of musical instruments</v>
      </c>
      <c r="K416" t="s">
        <v>5066</v>
      </c>
    </row>
    <row r="417" spans="1:11" x14ac:dyDescent="0.35">
      <c r="A417" s="328" t="s">
        <v>1384</v>
      </c>
      <c r="B417" t="s">
        <v>1385</v>
      </c>
      <c r="C417" s="328"/>
      <c r="D417" s="328" t="str">
        <f t="shared" si="10"/>
        <v>NACE C - 32.20 Manufacture of musical instruments</v>
      </c>
      <c r="K417" t="s">
        <v>5067</v>
      </c>
    </row>
    <row r="418" spans="1:11" x14ac:dyDescent="0.35">
      <c r="A418" s="327" t="s">
        <v>1386</v>
      </c>
      <c r="B418" t="s">
        <v>1387</v>
      </c>
      <c r="C418" s="328"/>
      <c r="D418" s="327" t="str">
        <f t="shared" si="10"/>
        <v>NACE C - 32.3 Manufacture of sports goods</v>
      </c>
      <c r="K418" t="s">
        <v>5068</v>
      </c>
    </row>
    <row r="419" spans="1:11" x14ac:dyDescent="0.35">
      <c r="A419" s="328" t="s">
        <v>1388</v>
      </c>
      <c r="B419" t="s">
        <v>1389</v>
      </c>
      <c r="C419" s="328"/>
      <c r="D419" s="328" t="str">
        <f t="shared" si="10"/>
        <v>NACE C - 32.30 Manufacture of sports goods</v>
      </c>
      <c r="K419" t="s">
        <v>5069</v>
      </c>
    </row>
    <row r="420" spans="1:11" x14ac:dyDescent="0.35">
      <c r="A420" s="327" t="s">
        <v>1390</v>
      </c>
      <c r="B420" t="s">
        <v>1391</v>
      </c>
      <c r="C420" s="328"/>
      <c r="D420" s="327" t="str">
        <f t="shared" si="10"/>
        <v>NACE C - 32.4 Manufacture of games and toys</v>
      </c>
      <c r="K420" t="s">
        <v>5070</v>
      </c>
    </row>
    <row r="421" spans="1:11" x14ac:dyDescent="0.35">
      <c r="A421" s="328" t="s">
        <v>1392</v>
      </c>
      <c r="B421" t="s">
        <v>1393</v>
      </c>
      <c r="C421" s="328"/>
      <c r="D421" s="328" t="str">
        <f t="shared" si="10"/>
        <v>NACE C - 32.40 Manufacture of games and toys</v>
      </c>
      <c r="K421" t="s">
        <v>5071</v>
      </c>
    </row>
    <row r="422" spans="1:11" x14ac:dyDescent="0.35">
      <c r="A422" s="327" t="s">
        <v>1394</v>
      </c>
      <c r="B422" t="s">
        <v>1395</v>
      </c>
      <c r="C422" s="328"/>
      <c r="D422" s="327" t="str">
        <f t="shared" si="10"/>
        <v>NACE C - 32.5 Manufacture of medical and dental instruments and supplies</v>
      </c>
      <c r="K422" t="s">
        <v>5072</v>
      </c>
    </row>
    <row r="423" spans="1:11" x14ac:dyDescent="0.35">
      <c r="A423" s="328" t="s">
        <v>1396</v>
      </c>
      <c r="B423" t="s">
        <v>1397</v>
      </c>
      <c r="C423" s="328"/>
      <c r="D423" s="328" t="str">
        <f t="shared" si="10"/>
        <v>NACE C - 32.50 Manufacture of medical and dental instruments and supplies</v>
      </c>
      <c r="K423" t="s">
        <v>5073</v>
      </c>
    </row>
    <row r="424" spans="1:11" x14ac:dyDescent="0.35">
      <c r="A424" s="327" t="s">
        <v>1398</v>
      </c>
      <c r="B424" t="s">
        <v>1399</v>
      </c>
      <c r="C424" s="328"/>
      <c r="D424" s="327" t="str">
        <f t="shared" si="10"/>
        <v>NACE C - 32.9 Manufacturing n.e.c.</v>
      </c>
      <c r="K424" t="s">
        <v>5074</v>
      </c>
    </row>
    <row r="425" spans="1:11" x14ac:dyDescent="0.35">
      <c r="A425" s="328" t="s">
        <v>1400</v>
      </c>
      <c r="B425" t="s">
        <v>1401</v>
      </c>
      <c r="C425" s="328"/>
      <c r="D425" s="328" t="str">
        <f t="shared" si="10"/>
        <v>NACE C - 32.91 Manufacture of brooms and brushes</v>
      </c>
      <c r="K425" t="s">
        <v>5075</v>
      </c>
    </row>
    <row r="426" spans="1:11" x14ac:dyDescent="0.35">
      <c r="A426" s="328" t="s">
        <v>1402</v>
      </c>
      <c r="B426" t="s">
        <v>1403</v>
      </c>
      <c r="C426" s="328"/>
      <c r="D426" s="328" t="str">
        <f t="shared" si="10"/>
        <v>NACE C - 32.99 Other manufacturing n.e.c.</v>
      </c>
      <c r="K426" t="s">
        <v>5076</v>
      </c>
    </row>
    <row r="427" spans="1:11" x14ac:dyDescent="0.35">
      <c r="A427" s="324" t="s">
        <v>1404</v>
      </c>
      <c r="B427" t="s">
        <v>1405</v>
      </c>
      <c r="C427" s="328"/>
      <c r="D427" s="324" t="str">
        <f t="shared" si="10"/>
        <v>NACE C - 33 Repair, maintenance and installation of machinery and equipment</v>
      </c>
      <c r="K427" t="s">
        <v>5077</v>
      </c>
    </row>
    <row r="428" spans="1:11" x14ac:dyDescent="0.35">
      <c r="A428" s="327" t="s">
        <v>1406</v>
      </c>
      <c r="B428" t="s">
        <v>1407</v>
      </c>
      <c r="C428" s="328"/>
      <c r="D428" s="327" t="str">
        <f t="shared" si="10"/>
        <v>NACE C - 33.1 Repair and maintenance of fabricated metal products, machinery and equipment</v>
      </c>
      <c r="K428" t="s">
        <v>5078</v>
      </c>
    </row>
    <row r="429" spans="1:11" x14ac:dyDescent="0.35">
      <c r="A429" s="328" t="s">
        <v>1408</v>
      </c>
      <c r="B429" t="s">
        <v>1409</v>
      </c>
      <c r="C429" s="328"/>
      <c r="D429" s="328" t="str">
        <f t="shared" si="10"/>
        <v>NACE C - 33.11 Repair and maintenance of fabricated metal products</v>
      </c>
      <c r="K429" t="s">
        <v>5079</v>
      </c>
    </row>
    <row r="430" spans="1:11" x14ac:dyDescent="0.35">
      <c r="A430" s="328" t="s">
        <v>1410</v>
      </c>
      <c r="B430" t="s">
        <v>1411</v>
      </c>
      <c r="C430" s="328"/>
      <c r="D430" s="328" t="str">
        <f t="shared" si="10"/>
        <v>NACE C - 33.12 Repair and maintenance of machinery</v>
      </c>
      <c r="K430" t="s">
        <v>5080</v>
      </c>
    </row>
    <row r="431" spans="1:11" x14ac:dyDescent="0.35">
      <c r="A431" s="328" t="s">
        <v>1412</v>
      </c>
      <c r="B431" t="s">
        <v>1413</v>
      </c>
      <c r="C431" s="328"/>
      <c r="D431" s="328" t="str">
        <f t="shared" si="10"/>
        <v>NACE C - 33.13 Repair and maintenance of electronic and optical equipment</v>
      </c>
      <c r="K431" t="s">
        <v>5081</v>
      </c>
    </row>
    <row r="432" spans="1:11" x14ac:dyDescent="0.35">
      <c r="A432" s="328" t="s">
        <v>1414</v>
      </c>
      <c r="B432" t="s">
        <v>1415</v>
      </c>
      <c r="C432" s="328"/>
      <c r="D432" s="328" t="str">
        <f t="shared" si="10"/>
        <v>NACE C - 33.14 Repair and maintenance of electrical equipment</v>
      </c>
      <c r="K432" t="s">
        <v>5082</v>
      </c>
    </row>
    <row r="433" spans="1:11" x14ac:dyDescent="0.35">
      <c r="A433" s="328" t="s">
        <v>1416</v>
      </c>
      <c r="B433" t="s">
        <v>1417</v>
      </c>
      <c r="C433" s="328"/>
      <c r="D433" s="328" t="str">
        <f t="shared" si="10"/>
        <v>NACE C - 33.15 Repair and maintenance of civilian ships and boats</v>
      </c>
      <c r="K433" t="s">
        <v>5083</v>
      </c>
    </row>
    <row r="434" spans="1:11" x14ac:dyDescent="0.35">
      <c r="A434" s="328" t="s">
        <v>1418</v>
      </c>
      <c r="B434" t="s">
        <v>1419</v>
      </c>
      <c r="C434" s="328"/>
      <c r="D434" s="328" t="str">
        <f t="shared" si="10"/>
        <v>NACE C - 33.16 Repair and maintenance of civilian air and spacecraft</v>
      </c>
      <c r="K434" t="s">
        <v>5084</v>
      </c>
    </row>
    <row r="435" spans="1:11" x14ac:dyDescent="0.35">
      <c r="A435" s="328" t="s">
        <v>1420</v>
      </c>
      <c r="B435" t="s">
        <v>1421</v>
      </c>
      <c r="C435" s="328"/>
      <c r="D435" s="328" t="str">
        <f t="shared" si="10"/>
        <v>NACE C - 33.17 Repair and maintenance of other civilian transport equipment</v>
      </c>
      <c r="K435" t="s">
        <v>5085</v>
      </c>
    </row>
    <row r="436" spans="1:11" x14ac:dyDescent="0.35">
      <c r="A436" s="328" t="s">
        <v>1422</v>
      </c>
      <c r="B436" t="s">
        <v>1423</v>
      </c>
      <c r="C436" s="328"/>
      <c r="D436" s="328" t="str">
        <f t="shared" si="10"/>
        <v>NACE C - 33.18 Repair and maintenance of military fighting vehicles, ships, boats, air and spacecraft</v>
      </c>
      <c r="K436" t="s">
        <v>5086</v>
      </c>
    </row>
    <row r="437" spans="1:11" x14ac:dyDescent="0.35">
      <c r="A437" s="328" t="s">
        <v>1424</v>
      </c>
      <c r="B437" t="s">
        <v>1425</v>
      </c>
      <c r="C437" s="328"/>
      <c r="D437" s="328" t="str">
        <f t="shared" si="10"/>
        <v>NACE C - 33.19 Repair and maintenance of other equipment</v>
      </c>
      <c r="K437" t="s">
        <v>5087</v>
      </c>
    </row>
    <row r="438" spans="1:11" x14ac:dyDescent="0.35">
      <c r="A438" s="327" t="s">
        <v>1426</v>
      </c>
      <c r="B438" t="s">
        <v>1427</v>
      </c>
      <c r="C438" s="328"/>
      <c r="D438" s="327" t="str">
        <f t="shared" si="10"/>
        <v>NACE C - 33.2 Installation of industrial machinery and equipment</v>
      </c>
      <c r="K438" t="s">
        <v>5088</v>
      </c>
    </row>
    <row r="439" spans="1:11" x14ac:dyDescent="0.35">
      <c r="A439" s="328" t="s">
        <v>1428</v>
      </c>
      <c r="B439" t="s">
        <v>1429</v>
      </c>
      <c r="C439" s="328"/>
      <c r="D439" s="328" t="str">
        <f t="shared" si="10"/>
        <v>NACE C - 33.20 Installation of industrial machinery and equipment</v>
      </c>
      <c r="K439" t="s">
        <v>5089</v>
      </c>
    </row>
    <row r="440" spans="1:11" x14ac:dyDescent="0.35">
      <c r="A440" s="325" t="s">
        <v>1430</v>
      </c>
      <c r="B440" t="s">
        <v>1431</v>
      </c>
      <c r="C440" s="328"/>
      <c r="D440" s="325" t="str">
        <f t="shared" si="10"/>
        <v>NACE D - ELECTRICITY, GAS, STEAM AND AIR CONDITIONING SUPPLY</v>
      </c>
      <c r="K440" t="s">
        <v>5090</v>
      </c>
    </row>
    <row r="441" spans="1:11" x14ac:dyDescent="0.35">
      <c r="A441" s="324" t="s">
        <v>1432</v>
      </c>
      <c r="B441" t="s">
        <v>1433</v>
      </c>
      <c r="C441" s="328"/>
      <c r="D441" s="324" t="str">
        <f t="shared" si="10"/>
        <v>NACE D - 35 Electricity, gas, steam and air conditioning supply</v>
      </c>
      <c r="K441" t="s">
        <v>5091</v>
      </c>
    </row>
    <row r="442" spans="1:11" x14ac:dyDescent="0.35">
      <c r="A442" s="327" t="s">
        <v>1434</v>
      </c>
      <c r="B442" t="s">
        <v>1435</v>
      </c>
      <c r="C442" s="328"/>
      <c r="D442" s="327" t="str">
        <f t="shared" si="10"/>
        <v>NACE D - 35.1 Electric power generation, transmission and distribution</v>
      </c>
      <c r="K442" t="s">
        <v>5092</v>
      </c>
    </row>
    <row r="443" spans="1:11" x14ac:dyDescent="0.35">
      <c r="A443" s="328" t="s">
        <v>1436</v>
      </c>
      <c r="B443" t="s">
        <v>1437</v>
      </c>
      <c r="C443" s="328"/>
      <c r="D443" s="328" t="str">
        <f t="shared" si="10"/>
        <v>NACE D - 35.11 Production of electricity from non-renewable sources</v>
      </c>
      <c r="K443" t="s">
        <v>5093</v>
      </c>
    </row>
    <row r="444" spans="1:11" x14ac:dyDescent="0.35">
      <c r="A444" s="328" t="s">
        <v>1438</v>
      </c>
      <c r="B444" t="s">
        <v>1439</v>
      </c>
      <c r="C444" s="328"/>
      <c r="D444" s="328" t="str">
        <f t="shared" si="10"/>
        <v>NACE D - 35.12 Production of electricity from renewable sources</v>
      </c>
      <c r="K444" t="s">
        <v>5094</v>
      </c>
    </row>
    <row r="445" spans="1:11" x14ac:dyDescent="0.35">
      <c r="A445" s="328" t="s">
        <v>1440</v>
      </c>
      <c r="B445" t="s">
        <v>1441</v>
      </c>
      <c r="C445" s="328"/>
      <c r="D445" s="328" t="str">
        <f t="shared" si="10"/>
        <v>NACE D - 35.13 Transmission of electricity</v>
      </c>
      <c r="K445" t="s">
        <v>5095</v>
      </c>
    </row>
    <row r="446" spans="1:11" x14ac:dyDescent="0.35">
      <c r="A446" s="328" t="s">
        <v>1442</v>
      </c>
      <c r="B446" t="s">
        <v>1443</v>
      </c>
      <c r="C446" s="328"/>
      <c r="D446" s="328" t="str">
        <f t="shared" si="10"/>
        <v>NACE D - 35.14 Distribution of electricity</v>
      </c>
      <c r="K446" t="s">
        <v>5096</v>
      </c>
    </row>
    <row r="447" spans="1:11" x14ac:dyDescent="0.35">
      <c r="A447" s="328" t="s">
        <v>1444</v>
      </c>
      <c r="B447" t="s">
        <v>1445</v>
      </c>
      <c r="C447" s="328"/>
      <c r="D447" s="328" t="str">
        <f t="shared" si="10"/>
        <v>NACE D - 35.15 Trade of electricity</v>
      </c>
      <c r="K447" t="s">
        <v>5097</v>
      </c>
    </row>
    <row r="448" spans="1:11" x14ac:dyDescent="0.35">
      <c r="A448" s="328" t="s">
        <v>1446</v>
      </c>
      <c r="B448" t="s">
        <v>1447</v>
      </c>
      <c r="C448" s="328"/>
      <c r="D448" s="328" t="str">
        <f t="shared" si="10"/>
        <v>NACE D - 35.16 Storage of electricity</v>
      </c>
      <c r="K448" t="s">
        <v>5098</v>
      </c>
    </row>
    <row r="449" spans="1:11" x14ac:dyDescent="0.35">
      <c r="A449" s="327" t="s">
        <v>1448</v>
      </c>
      <c r="B449" t="s">
        <v>1449</v>
      </c>
      <c r="C449" s="328"/>
      <c r="D449" s="327" t="str">
        <f t="shared" si="10"/>
        <v>NACE D - 35.2 Manufacture of gas, and distribution of gaseous fuels through mains</v>
      </c>
      <c r="K449" t="s">
        <v>5099</v>
      </c>
    </row>
    <row r="450" spans="1:11" x14ac:dyDescent="0.35">
      <c r="A450" s="328" t="s">
        <v>1450</v>
      </c>
      <c r="B450" t="s">
        <v>1451</v>
      </c>
      <c r="C450" s="328"/>
      <c r="D450" s="328" t="str">
        <f t="shared" ref="D450:D513" si="11">_xlfn.CONCAT("NACE ", A450)</f>
        <v>NACE D - 35.21 Manufacture of gas</v>
      </c>
      <c r="K450" t="s">
        <v>5100</v>
      </c>
    </row>
    <row r="451" spans="1:11" x14ac:dyDescent="0.35">
      <c r="A451" s="328" t="s">
        <v>1452</v>
      </c>
      <c r="B451" t="s">
        <v>1453</v>
      </c>
      <c r="C451" s="328"/>
      <c r="D451" s="328" t="str">
        <f t="shared" si="11"/>
        <v>NACE D - 35.22 Distribution of gaseous fuels through mains</v>
      </c>
      <c r="K451" t="s">
        <v>5101</v>
      </c>
    </row>
    <row r="452" spans="1:11" x14ac:dyDescent="0.35">
      <c r="A452" s="328" t="s">
        <v>1454</v>
      </c>
      <c r="B452" t="s">
        <v>1455</v>
      </c>
      <c r="C452" s="328"/>
      <c r="D452" s="328" t="str">
        <f t="shared" si="11"/>
        <v>NACE D - 35.23 Trade of gas through mains</v>
      </c>
      <c r="K452" t="s">
        <v>5102</v>
      </c>
    </row>
    <row r="453" spans="1:11" x14ac:dyDescent="0.35">
      <c r="A453" s="328" t="s">
        <v>1456</v>
      </c>
      <c r="B453" t="s">
        <v>1457</v>
      </c>
      <c r="C453" s="328"/>
      <c r="D453" s="328" t="str">
        <f t="shared" si="11"/>
        <v>NACE D - 35.24 Storage of gas as part of network supply services</v>
      </c>
      <c r="K453" t="s">
        <v>5103</v>
      </c>
    </row>
    <row r="454" spans="1:11" x14ac:dyDescent="0.35">
      <c r="A454" s="327" t="s">
        <v>1458</v>
      </c>
      <c r="B454" t="s">
        <v>1459</v>
      </c>
      <c r="C454" s="328"/>
      <c r="D454" s="327" t="str">
        <f t="shared" si="11"/>
        <v>NACE D - 35.3 Steam and air conditioning supply</v>
      </c>
      <c r="K454" t="s">
        <v>5104</v>
      </c>
    </row>
    <row r="455" spans="1:11" x14ac:dyDescent="0.35">
      <c r="A455" s="328" t="s">
        <v>1460</v>
      </c>
      <c r="B455" t="s">
        <v>1461</v>
      </c>
      <c r="C455" s="328"/>
      <c r="D455" s="328" t="str">
        <f t="shared" si="11"/>
        <v>NACE D - 35.30 Steam and air conditioning supply</v>
      </c>
      <c r="K455" t="s">
        <v>5105</v>
      </c>
    </row>
    <row r="456" spans="1:11" x14ac:dyDescent="0.35">
      <c r="A456" s="327" t="s">
        <v>1462</v>
      </c>
      <c r="B456" t="s">
        <v>1463</v>
      </c>
      <c r="C456" s="328"/>
      <c r="D456" s="327" t="str">
        <f t="shared" si="11"/>
        <v>NACE D - 35.4 Activities of brokers and agents for electric power and natural gas</v>
      </c>
      <c r="K456" t="s">
        <v>5106</v>
      </c>
    </row>
    <row r="457" spans="1:11" x14ac:dyDescent="0.35">
      <c r="A457" s="328" t="s">
        <v>1464</v>
      </c>
      <c r="B457" t="s">
        <v>1465</v>
      </c>
      <c r="C457" s="328"/>
      <c r="D457" s="328" t="str">
        <f t="shared" si="11"/>
        <v>NACE D - 35.40 Activities of brokers and agents for electric power and natural gas</v>
      </c>
      <c r="K457" t="s">
        <v>5107</v>
      </c>
    </row>
    <row r="458" spans="1:11" x14ac:dyDescent="0.35">
      <c r="A458" s="325" t="s">
        <v>1466</v>
      </c>
      <c r="B458" t="s">
        <v>1467</v>
      </c>
      <c r="C458" s="328"/>
      <c r="D458" s="325" t="str">
        <f t="shared" si="11"/>
        <v>NACE E - WATER SUPPLY; SEWERAGE, WASTE MANAGEMENT AND REMEDIATION ACTIVITIES</v>
      </c>
      <c r="K458" t="s">
        <v>5108</v>
      </c>
    </row>
    <row r="459" spans="1:11" x14ac:dyDescent="0.35">
      <c r="A459" s="324" t="s">
        <v>1468</v>
      </c>
      <c r="B459" t="s">
        <v>1469</v>
      </c>
      <c r="C459" s="328"/>
      <c r="D459" s="324" t="str">
        <f t="shared" si="11"/>
        <v>NACE E - 36 Water collection, treatment and supply</v>
      </c>
      <c r="K459" t="s">
        <v>5109</v>
      </c>
    </row>
    <row r="460" spans="1:11" x14ac:dyDescent="0.35">
      <c r="A460" s="327" t="s">
        <v>1470</v>
      </c>
      <c r="B460" t="s">
        <v>1471</v>
      </c>
      <c r="C460" s="328"/>
      <c r="D460" s="327" t="str">
        <f t="shared" si="11"/>
        <v>NACE E - 36.0 Water collection, treatment and supply</v>
      </c>
      <c r="K460" t="s">
        <v>5110</v>
      </c>
    </row>
    <row r="461" spans="1:11" x14ac:dyDescent="0.35">
      <c r="A461" s="328" t="s">
        <v>1472</v>
      </c>
      <c r="B461" t="s">
        <v>1473</v>
      </c>
      <c r="C461" s="328"/>
      <c r="D461" s="328" t="str">
        <f t="shared" si="11"/>
        <v>NACE E - 36.00 Water collection, treatment and supply</v>
      </c>
      <c r="K461" t="s">
        <v>5111</v>
      </c>
    </row>
    <row r="462" spans="1:11" x14ac:dyDescent="0.35">
      <c r="A462" s="324" t="s">
        <v>1474</v>
      </c>
      <c r="B462" t="s">
        <v>1475</v>
      </c>
      <c r="C462" s="328"/>
      <c r="D462" s="324" t="str">
        <f t="shared" si="11"/>
        <v>NACE E - 37 Sewerage</v>
      </c>
      <c r="K462" t="s">
        <v>5112</v>
      </c>
    </row>
    <row r="463" spans="1:11" x14ac:dyDescent="0.35">
      <c r="A463" s="327" t="s">
        <v>1476</v>
      </c>
      <c r="B463" t="s">
        <v>1477</v>
      </c>
      <c r="C463" s="328"/>
      <c r="D463" s="327" t="str">
        <f t="shared" si="11"/>
        <v>NACE E - 37.0 Sewerage</v>
      </c>
      <c r="K463" t="s">
        <v>5113</v>
      </c>
    </row>
    <row r="464" spans="1:11" x14ac:dyDescent="0.35">
      <c r="A464" s="328" t="s">
        <v>1478</v>
      </c>
      <c r="B464" t="s">
        <v>1479</v>
      </c>
      <c r="C464" s="328"/>
      <c r="D464" s="328" t="str">
        <f t="shared" si="11"/>
        <v>NACE E - 37.00 Sewerage</v>
      </c>
      <c r="K464" t="s">
        <v>5114</v>
      </c>
    </row>
    <row r="465" spans="1:11" x14ac:dyDescent="0.35">
      <c r="A465" s="324" t="s">
        <v>1480</v>
      </c>
      <c r="B465" t="s">
        <v>1481</v>
      </c>
      <c r="C465" s="328"/>
      <c r="D465" s="324" t="str">
        <f t="shared" si="11"/>
        <v>NACE E - 38 Waste collection, recovery and disposal activities</v>
      </c>
      <c r="K465" t="s">
        <v>5115</v>
      </c>
    </row>
    <row r="466" spans="1:11" x14ac:dyDescent="0.35">
      <c r="A466" s="327" t="s">
        <v>1482</v>
      </c>
      <c r="B466" t="s">
        <v>1483</v>
      </c>
      <c r="C466" s="328"/>
      <c r="D466" s="327" t="str">
        <f t="shared" si="11"/>
        <v>NACE E - 38.1 Waste collection</v>
      </c>
      <c r="K466" t="s">
        <v>5116</v>
      </c>
    </row>
    <row r="467" spans="1:11" x14ac:dyDescent="0.35">
      <c r="A467" s="328" t="s">
        <v>1484</v>
      </c>
      <c r="B467" t="s">
        <v>1485</v>
      </c>
      <c r="C467" s="328"/>
      <c r="D467" s="328" t="str">
        <f t="shared" si="11"/>
        <v>NACE E - 38.11 Collection of non-hazardous waste</v>
      </c>
      <c r="K467" t="s">
        <v>5117</v>
      </c>
    </row>
    <row r="468" spans="1:11" x14ac:dyDescent="0.35">
      <c r="A468" s="328" t="s">
        <v>1486</v>
      </c>
      <c r="B468" t="s">
        <v>1487</v>
      </c>
      <c r="C468" s="328"/>
      <c r="D468" s="328" t="str">
        <f t="shared" si="11"/>
        <v>NACE E - 38.12 Collection of hazardous waste</v>
      </c>
      <c r="K468" t="s">
        <v>5118</v>
      </c>
    </row>
    <row r="469" spans="1:11" x14ac:dyDescent="0.35">
      <c r="A469" s="327" t="s">
        <v>1488</v>
      </c>
      <c r="B469" t="s">
        <v>1489</v>
      </c>
      <c r="C469" s="328"/>
      <c r="D469" s="327" t="str">
        <f t="shared" si="11"/>
        <v>NACE E - 38.2 Waste recovery</v>
      </c>
      <c r="K469" t="s">
        <v>5119</v>
      </c>
    </row>
    <row r="470" spans="1:11" x14ac:dyDescent="0.35">
      <c r="A470" s="328" t="s">
        <v>1490</v>
      </c>
      <c r="B470" t="s">
        <v>1491</v>
      </c>
      <c r="C470" s="328"/>
      <c r="D470" s="328" t="str">
        <f t="shared" si="11"/>
        <v>NACE E - 38.21 Materials recovery</v>
      </c>
      <c r="K470" t="s">
        <v>5120</v>
      </c>
    </row>
    <row r="471" spans="1:11" x14ac:dyDescent="0.35">
      <c r="A471" s="328" t="s">
        <v>1492</v>
      </c>
      <c r="B471" t="s">
        <v>1493</v>
      </c>
      <c r="C471" s="328"/>
      <c r="D471" s="328" t="str">
        <f t="shared" si="11"/>
        <v>NACE E - 38.22 Energy recovery</v>
      </c>
      <c r="K471" t="s">
        <v>5121</v>
      </c>
    </row>
    <row r="472" spans="1:11" x14ac:dyDescent="0.35">
      <c r="A472" s="328" t="s">
        <v>1494</v>
      </c>
      <c r="B472" t="s">
        <v>1495</v>
      </c>
      <c r="C472" s="328"/>
      <c r="D472" s="328" t="str">
        <f t="shared" si="11"/>
        <v>NACE E - 38.23 Other waste recovery</v>
      </c>
      <c r="K472" t="s">
        <v>5122</v>
      </c>
    </row>
    <row r="473" spans="1:11" x14ac:dyDescent="0.35">
      <c r="A473" s="327" t="s">
        <v>1496</v>
      </c>
      <c r="B473" t="s">
        <v>1497</v>
      </c>
      <c r="C473" s="328"/>
      <c r="D473" s="327" t="str">
        <f t="shared" si="11"/>
        <v>NACE E - 38.3 Waste disposal without recovery</v>
      </c>
      <c r="K473" t="s">
        <v>5123</v>
      </c>
    </row>
    <row r="474" spans="1:11" x14ac:dyDescent="0.35">
      <c r="A474" s="328" t="s">
        <v>1498</v>
      </c>
      <c r="B474" t="s">
        <v>1499</v>
      </c>
      <c r="C474" s="328"/>
      <c r="D474" s="328" t="str">
        <f t="shared" si="11"/>
        <v>NACE E - 38.31 Incineration without energy recovery</v>
      </c>
      <c r="K474" t="s">
        <v>5124</v>
      </c>
    </row>
    <row r="475" spans="1:11" x14ac:dyDescent="0.35">
      <c r="A475" s="328" t="s">
        <v>1500</v>
      </c>
      <c r="B475" t="s">
        <v>1501</v>
      </c>
      <c r="C475" s="328"/>
      <c r="D475" s="328" t="str">
        <f t="shared" si="11"/>
        <v>NACE E - 38.32 Landfilling or permanent storage</v>
      </c>
      <c r="K475" t="s">
        <v>5125</v>
      </c>
    </row>
    <row r="476" spans="1:11" x14ac:dyDescent="0.35">
      <c r="A476" s="328" t="s">
        <v>1502</v>
      </c>
      <c r="B476" t="s">
        <v>1503</v>
      </c>
      <c r="C476" s="328"/>
      <c r="D476" s="328" t="str">
        <f t="shared" si="11"/>
        <v>NACE E - 38.33 Other waste disposal</v>
      </c>
      <c r="K476" t="s">
        <v>5126</v>
      </c>
    </row>
    <row r="477" spans="1:11" x14ac:dyDescent="0.35">
      <c r="A477" s="324" t="s">
        <v>1504</v>
      </c>
      <c r="B477" t="s">
        <v>1505</v>
      </c>
      <c r="C477" s="328"/>
      <c r="D477" s="324" t="str">
        <f t="shared" si="11"/>
        <v>NACE E - 39 Remediation activities and other waste management service activities</v>
      </c>
      <c r="K477" t="s">
        <v>5127</v>
      </c>
    </row>
    <row r="478" spans="1:11" x14ac:dyDescent="0.35">
      <c r="A478" s="327" t="s">
        <v>1506</v>
      </c>
      <c r="B478" t="s">
        <v>1507</v>
      </c>
      <c r="C478" s="328"/>
      <c r="D478" s="327" t="str">
        <f t="shared" si="11"/>
        <v>NACE E - 39.0 Remediation activities and other waste management service activities</v>
      </c>
      <c r="K478" t="s">
        <v>5128</v>
      </c>
    </row>
    <row r="479" spans="1:11" x14ac:dyDescent="0.35">
      <c r="A479" s="328" t="s">
        <v>1508</v>
      </c>
      <c r="B479" t="s">
        <v>1509</v>
      </c>
      <c r="C479" s="328"/>
      <c r="D479" s="328" t="str">
        <f t="shared" si="11"/>
        <v>NACE E - 39.00 Remediation activities and other waste management service activities</v>
      </c>
      <c r="K479" t="s">
        <v>5129</v>
      </c>
    </row>
    <row r="480" spans="1:11" x14ac:dyDescent="0.35">
      <c r="A480" s="325" t="s">
        <v>1510</v>
      </c>
      <c r="B480" t="s">
        <v>1511</v>
      </c>
      <c r="C480" s="328"/>
      <c r="D480" s="325" t="str">
        <f t="shared" si="11"/>
        <v>NACE F - CONSTRUCTION</v>
      </c>
      <c r="K480" t="s">
        <v>5130</v>
      </c>
    </row>
    <row r="481" spans="1:11" x14ac:dyDescent="0.35">
      <c r="A481" s="324" t="s">
        <v>1512</v>
      </c>
      <c r="B481" t="s">
        <v>1513</v>
      </c>
      <c r="C481" s="328"/>
      <c r="D481" s="324" t="str">
        <f t="shared" si="11"/>
        <v>NACE F - 41 Construction of residential and non-residential buildings</v>
      </c>
      <c r="K481" t="s">
        <v>5131</v>
      </c>
    </row>
    <row r="482" spans="1:11" x14ac:dyDescent="0.35">
      <c r="A482" s="327" t="s">
        <v>1514</v>
      </c>
      <c r="B482" t="s">
        <v>1515</v>
      </c>
      <c r="C482" s="328"/>
      <c r="D482" s="327" t="str">
        <f t="shared" si="11"/>
        <v>NACE F - 41.0 Construction of residential and non-residential buildings</v>
      </c>
      <c r="K482" t="s">
        <v>5132</v>
      </c>
    </row>
    <row r="483" spans="1:11" x14ac:dyDescent="0.35">
      <c r="A483" s="328" t="s">
        <v>1516</v>
      </c>
      <c r="B483" t="s">
        <v>1517</v>
      </c>
      <c r="C483" s="328"/>
      <c r="D483" s="328" t="str">
        <f t="shared" si="11"/>
        <v>NACE F - 41.00 Construction of residential and non-residential buildings</v>
      </c>
      <c r="K483" t="s">
        <v>5133</v>
      </c>
    </row>
    <row r="484" spans="1:11" x14ac:dyDescent="0.35">
      <c r="A484" s="324" t="s">
        <v>1518</v>
      </c>
      <c r="B484" t="s">
        <v>1519</v>
      </c>
      <c r="C484" s="328"/>
      <c r="D484" s="324" t="str">
        <f t="shared" si="11"/>
        <v>NACE F - 42 Civil engineering</v>
      </c>
      <c r="K484" t="s">
        <v>5134</v>
      </c>
    </row>
    <row r="485" spans="1:11" x14ac:dyDescent="0.35">
      <c r="A485" s="327" t="s">
        <v>1520</v>
      </c>
      <c r="B485" t="s">
        <v>1521</v>
      </c>
      <c r="C485" s="328"/>
      <c r="D485" s="327" t="str">
        <f t="shared" si="11"/>
        <v>NACE F - 42.1 Construction of roads and railways</v>
      </c>
      <c r="K485" t="s">
        <v>5135</v>
      </c>
    </row>
    <row r="486" spans="1:11" x14ac:dyDescent="0.35">
      <c r="A486" s="328" t="s">
        <v>1522</v>
      </c>
      <c r="B486" t="s">
        <v>1523</v>
      </c>
      <c r="C486" s="328"/>
      <c r="D486" s="328" t="str">
        <f t="shared" si="11"/>
        <v>NACE F - 42.11 Construction of roads and motorways</v>
      </c>
      <c r="K486" t="s">
        <v>5136</v>
      </c>
    </row>
    <row r="487" spans="1:11" x14ac:dyDescent="0.35">
      <c r="A487" s="328" t="s">
        <v>1524</v>
      </c>
      <c r="B487" t="s">
        <v>1525</v>
      </c>
      <c r="C487" s="328"/>
      <c r="D487" s="328" t="str">
        <f t="shared" si="11"/>
        <v>NACE F - 42.12 Construction of railways and underground railways</v>
      </c>
      <c r="K487" t="s">
        <v>5137</v>
      </c>
    </row>
    <row r="488" spans="1:11" x14ac:dyDescent="0.35">
      <c r="A488" s="328" t="s">
        <v>1526</v>
      </c>
      <c r="B488" t="s">
        <v>1527</v>
      </c>
      <c r="C488" s="328"/>
      <c r="D488" s="328" t="str">
        <f t="shared" si="11"/>
        <v>NACE F - 42.13 Construction of bridges and tunnels</v>
      </c>
      <c r="K488" t="s">
        <v>5138</v>
      </c>
    </row>
    <row r="489" spans="1:11" x14ac:dyDescent="0.35">
      <c r="A489" s="327" t="s">
        <v>1528</v>
      </c>
      <c r="B489" t="s">
        <v>1529</v>
      </c>
      <c r="C489" s="328"/>
      <c r="D489" s="327" t="str">
        <f t="shared" si="11"/>
        <v>NACE F - 42.2 Construction of utility projects</v>
      </c>
      <c r="K489" t="s">
        <v>5139</v>
      </c>
    </row>
    <row r="490" spans="1:11" x14ac:dyDescent="0.35">
      <c r="A490" s="328" t="s">
        <v>1530</v>
      </c>
      <c r="B490" t="s">
        <v>1531</v>
      </c>
      <c r="C490" s="328"/>
      <c r="D490" s="328" t="str">
        <f t="shared" si="11"/>
        <v>NACE F - 42.21 Construction of utility projects for fluids</v>
      </c>
      <c r="K490" t="s">
        <v>5140</v>
      </c>
    </row>
    <row r="491" spans="1:11" x14ac:dyDescent="0.35">
      <c r="A491" s="328" t="s">
        <v>1532</v>
      </c>
      <c r="B491" t="s">
        <v>1533</v>
      </c>
      <c r="C491" s="328"/>
      <c r="D491" s="328" t="str">
        <f t="shared" si="11"/>
        <v>NACE F - 42.22 Construction of utility projects for electricity and telecommunications</v>
      </c>
      <c r="K491" t="s">
        <v>5141</v>
      </c>
    </row>
    <row r="492" spans="1:11" x14ac:dyDescent="0.35">
      <c r="A492" s="327" t="s">
        <v>1534</v>
      </c>
      <c r="B492" t="s">
        <v>1535</v>
      </c>
      <c r="C492" s="328"/>
      <c r="D492" s="327" t="str">
        <f t="shared" si="11"/>
        <v>NACE F - 42.9 Construction of other civil engineering projects</v>
      </c>
      <c r="K492" t="s">
        <v>5142</v>
      </c>
    </row>
    <row r="493" spans="1:11" x14ac:dyDescent="0.35">
      <c r="A493" s="328" t="s">
        <v>1536</v>
      </c>
      <c r="B493" t="s">
        <v>1537</v>
      </c>
      <c r="C493" s="328"/>
      <c r="D493" s="328" t="str">
        <f t="shared" si="11"/>
        <v>NACE F - 42.91 Construction of water projects</v>
      </c>
      <c r="K493" t="s">
        <v>5143</v>
      </c>
    </row>
    <row r="494" spans="1:11" x14ac:dyDescent="0.35">
      <c r="A494" s="328" t="s">
        <v>1538</v>
      </c>
      <c r="B494" t="s">
        <v>1539</v>
      </c>
      <c r="C494" s="328"/>
      <c r="D494" s="328" t="str">
        <f t="shared" si="11"/>
        <v>NACE F - 42.99 Construction of other civil engineering projects n.e.c.</v>
      </c>
      <c r="K494" t="s">
        <v>5144</v>
      </c>
    </row>
    <row r="495" spans="1:11" x14ac:dyDescent="0.35">
      <c r="A495" s="324" t="s">
        <v>1540</v>
      </c>
      <c r="B495" t="s">
        <v>1541</v>
      </c>
      <c r="C495" s="328"/>
      <c r="D495" s="324" t="str">
        <f t="shared" si="11"/>
        <v>NACE F - 43 Specialised construction activities</v>
      </c>
      <c r="K495" t="s">
        <v>5145</v>
      </c>
    </row>
    <row r="496" spans="1:11" x14ac:dyDescent="0.35">
      <c r="A496" s="327" t="s">
        <v>1542</v>
      </c>
      <c r="B496" t="s">
        <v>1543</v>
      </c>
      <c r="C496" s="328"/>
      <c r="D496" s="327" t="str">
        <f t="shared" si="11"/>
        <v>NACE F - 43.1 Demolition and site preparation</v>
      </c>
      <c r="K496" t="s">
        <v>5146</v>
      </c>
    </row>
    <row r="497" spans="1:11" x14ac:dyDescent="0.35">
      <c r="A497" s="328" t="s">
        <v>1544</v>
      </c>
      <c r="B497" t="s">
        <v>1545</v>
      </c>
      <c r="C497" s="328"/>
      <c r="D497" s="328" t="str">
        <f t="shared" si="11"/>
        <v>NACE F - 43.11 Demolition</v>
      </c>
      <c r="K497" t="s">
        <v>5147</v>
      </c>
    </row>
    <row r="498" spans="1:11" x14ac:dyDescent="0.35">
      <c r="A498" s="328" t="s">
        <v>1546</v>
      </c>
      <c r="B498" t="s">
        <v>1547</v>
      </c>
      <c r="C498" s="328"/>
      <c r="D498" s="328" t="str">
        <f t="shared" si="11"/>
        <v>NACE F - 43.12 Site preparation</v>
      </c>
      <c r="K498" t="s">
        <v>5148</v>
      </c>
    </row>
    <row r="499" spans="1:11" x14ac:dyDescent="0.35">
      <c r="A499" s="328" t="s">
        <v>1548</v>
      </c>
      <c r="B499" t="s">
        <v>1549</v>
      </c>
      <c r="C499" s="328"/>
      <c r="D499" s="328" t="str">
        <f t="shared" si="11"/>
        <v>NACE F - 43.13 Test drilling and boring</v>
      </c>
      <c r="K499" t="s">
        <v>5149</v>
      </c>
    </row>
    <row r="500" spans="1:11" x14ac:dyDescent="0.35">
      <c r="A500" s="327" t="s">
        <v>1550</v>
      </c>
      <c r="B500" t="s">
        <v>1551</v>
      </c>
      <c r="C500" s="328"/>
      <c r="D500" s="327" t="str">
        <f t="shared" si="11"/>
        <v>NACE F - 43.2 Electrical, plumbing and other construction installation activities</v>
      </c>
      <c r="K500" t="s">
        <v>5150</v>
      </c>
    </row>
    <row r="501" spans="1:11" x14ac:dyDescent="0.35">
      <c r="A501" s="328" t="s">
        <v>1552</v>
      </c>
      <c r="B501" t="s">
        <v>1553</v>
      </c>
      <c r="C501" s="328"/>
      <c r="D501" s="328" t="str">
        <f t="shared" si="11"/>
        <v>NACE F - 43.21 Electrical installation</v>
      </c>
      <c r="K501" t="s">
        <v>5151</v>
      </c>
    </row>
    <row r="502" spans="1:11" x14ac:dyDescent="0.35">
      <c r="A502" s="328" t="s">
        <v>1554</v>
      </c>
      <c r="B502" t="s">
        <v>1555</v>
      </c>
      <c r="C502" s="328"/>
      <c r="D502" s="328" t="str">
        <f t="shared" si="11"/>
        <v>NACE F - 43.22 Plumbing, heat and air-conditioning installation</v>
      </c>
      <c r="K502" t="s">
        <v>5152</v>
      </c>
    </row>
    <row r="503" spans="1:11" x14ac:dyDescent="0.35">
      <c r="A503" s="328" t="s">
        <v>1556</v>
      </c>
      <c r="B503" t="s">
        <v>1557</v>
      </c>
      <c r="C503" s="328"/>
      <c r="D503" s="328" t="str">
        <f t="shared" si="11"/>
        <v>NACE F - 43.23 Installation of insulation</v>
      </c>
      <c r="K503" t="s">
        <v>5153</v>
      </c>
    </row>
    <row r="504" spans="1:11" x14ac:dyDescent="0.35">
      <c r="A504" s="328" t="s">
        <v>1558</v>
      </c>
      <c r="B504" t="s">
        <v>1559</v>
      </c>
      <c r="C504" s="328"/>
      <c r="D504" s="328" t="str">
        <f t="shared" si="11"/>
        <v>NACE F - 43.24 Other construction installation</v>
      </c>
      <c r="K504" t="s">
        <v>5154</v>
      </c>
    </row>
    <row r="505" spans="1:11" x14ac:dyDescent="0.35">
      <c r="A505" s="327" t="s">
        <v>1560</v>
      </c>
      <c r="B505" t="s">
        <v>1561</v>
      </c>
      <c r="C505" s="328"/>
      <c r="D505" s="327" t="str">
        <f t="shared" si="11"/>
        <v>NACE F - 43.3 Building completion and finishing</v>
      </c>
      <c r="K505" t="s">
        <v>5155</v>
      </c>
    </row>
    <row r="506" spans="1:11" x14ac:dyDescent="0.35">
      <c r="A506" s="328" t="s">
        <v>1562</v>
      </c>
      <c r="B506" t="s">
        <v>1563</v>
      </c>
      <c r="C506" s="328"/>
      <c r="D506" s="328" t="str">
        <f t="shared" si="11"/>
        <v>NACE F - 43.31 Plastering</v>
      </c>
      <c r="K506" t="s">
        <v>5156</v>
      </c>
    </row>
    <row r="507" spans="1:11" x14ac:dyDescent="0.35">
      <c r="A507" s="328" t="s">
        <v>1564</v>
      </c>
      <c r="B507" t="s">
        <v>1565</v>
      </c>
      <c r="C507" s="328"/>
      <c r="D507" s="328" t="str">
        <f t="shared" si="11"/>
        <v>NACE F - 43.32 Joinery installation</v>
      </c>
      <c r="K507" t="s">
        <v>5157</v>
      </c>
    </row>
    <row r="508" spans="1:11" x14ac:dyDescent="0.35">
      <c r="A508" s="328" t="s">
        <v>1566</v>
      </c>
      <c r="B508" t="s">
        <v>1567</v>
      </c>
      <c r="C508" s="328"/>
      <c r="D508" s="328" t="str">
        <f t="shared" si="11"/>
        <v>NACE F - 43.33 Floor and wall covering</v>
      </c>
      <c r="K508" t="s">
        <v>5158</v>
      </c>
    </row>
    <row r="509" spans="1:11" x14ac:dyDescent="0.35">
      <c r="A509" s="328" t="s">
        <v>1568</v>
      </c>
      <c r="B509" t="s">
        <v>1569</v>
      </c>
      <c r="C509" s="328"/>
      <c r="D509" s="328" t="str">
        <f t="shared" si="11"/>
        <v>NACE F - 43.34 Painting and glazing</v>
      </c>
      <c r="K509" t="s">
        <v>5159</v>
      </c>
    </row>
    <row r="510" spans="1:11" x14ac:dyDescent="0.35">
      <c r="A510" s="328" t="s">
        <v>1570</v>
      </c>
      <c r="B510" t="s">
        <v>1571</v>
      </c>
      <c r="C510" s="328"/>
      <c r="D510" s="328" t="str">
        <f t="shared" si="11"/>
        <v>NACE F - 43.35 Other building completion and finishing</v>
      </c>
      <c r="K510" t="s">
        <v>5160</v>
      </c>
    </row>
    <row r="511" spans="1:11" x14ac:dyDescent="0.35">
      <c r="A511" s="327" t="s">
        <v>1572</v>
      </c>
      <c r="B511" t="s">
        <v>1573</v>
      </c>
      <c r="C511" s="328"/>
      <c r="D511" s="327" t="str">
        <f t="shared" si="11"/>
        <v>NACE F - 43.4 Specialised construction activities in construction of buildings</v>
      </c>
      <c r="K511" t="s">
        <v>5161</v>
      </c>
    </row>
    <row r="512" spans="1:11" x14ac:dyDescent="0.35">
      <c r="A512" s="328" t="s">
        <v>1574</v>
      </c>
      <c r="B512" t="s">
        <v>1575</v>
      </c>
      <c r="C512" s="328"/>
      <c r="D512" s="328" t="str">
        <f t="shared" si="11"/>
        <v>NACE F - 43.41 Roofing activities</v>
      </c>
      <c r="K512" t="s">
        <v>5162</v>
      </c>
    </row>
    <row r="513" spans="1:11" x14ac:dyDescent="0.35">
      <c r="A513" s="328" t="s">
        <v>1576</v>
      </c>
      <c r="B513" t="s">
        <v>1577</v>
      </c>
      <c r="C513" s="328"/>
      <c r="D513" s="328" t="str">
        <f t="shared" si="11"/>
        <v>NACE F - 43.42 Other specialised construction activities in construction of buildings</v>
      </c>
      <c r="K513" t="s">
        <v>5163</v>
      </c>
    </row>
    <row r="514" spans="1:11" x14ac:dyDescent="0.35">
      <c r="A514" s="327" t="s">
        <v>1578</v>
      </c>
      <c r="B514" t="s">
        <v>1579</v>
      </c>
      <c r="C514" s="328"/>
      <c r="D514" s="327" t="str">
        <f t="shared" ref="D514:D577" si="12">_xlfn.CONCAT("NACE ", A514)</f>
        <v>NACE F - 43.5 Specialised construction activities in civil engineering</v>
      </c>
      <c r="K514" t="s">
        <v>5164</v>
      </c>
    </row>
    <row r="515" spans="1:11" x14ac:dyDescent="0.35">
      <c r="A515" s="328" t="s">
        <v>1580</v>
      </c>
      <c r="B515" t="s">
        <v>1581</v>
      </c>
      <c r="C515" s="328"/>
      <c r="D515" s="328" t="str">
        <f t="shared" si="12"/>
        <v>NACE F - 43.50 Specialised construction activities in civil engineering</v>
      </c>
      <c r="K515" t="s">
        <v>5165</v>
      </c>
    </row>
    <row r="516" spans="1:11" x14ac:dyDescent="0.35">
      <c r="A516" s="327" t="s">
        <v>1582</v>
      </c>
      <c r="B516" t="s">
        <v>1583</v>
      </c>
      <c r="C516" s="328"/>
      <c r="D516" s="327" t="str">
        <f t="shared" si="12"/>
        <v>NACE F - 43.6 Intermediation service activities for specialised construction services</v>
      </c>
      <c r="K516" t="s">
        <v>5166</v>
      </c>
    </row>
    <row r="517" spans="1:11" x14ac:dyDescent="0.35">
      <c r="A517" s="328" t="s">
        <v>1584</v>
      </c>
      <c r="B517" t="s">
        <v>1585</v>
      </c>
      <c r="C517" s="328"/>
      <c r="D517" s="328" t="str">
        <f t="shared" si="12"/>
        <v>NACE F - 43.60 Intermediation service activities for specialised construction services</v>
      </c>
      <c r="K517" t="s">
        <v>5167</v>
      </c>
    </row>
    <row r="518" spans="1:11" x14ac:dyDescent="0.35">
      <c r="A518" s="327" t="s">
        <v>1586</v>
      </c>
      <c r="B518" t="s">
        <v>1587</v>
      </c>
      <c r="C518" s="328"/>
      <c r="D518" s="327" t="str">
        <f t="shared" si="12"/>
        <v>NACE F - 43.9 Other specialised construction activities</v>
      </c>
      <c r="K518" t="s">
        <v>5168</v>
      </c>
    </row>
    <row r="519" spans="1:11" x14ac:dyDescent="0.35">
      <c r="A519" s="328" t="s">
        <v>1588</v>
      </c>
      <c r="B519" t="s">
        <v>1589</v>
      </c>
      <c r="C519" s="328"/>
      <c r="D519" s="328" t="str">
        <f t="shared" si="12"/>
        <v>NACE F - 43.91 Masonry and bricklaying activities</v>
      </c>
      <c r="K519" t="s">
        <v>5169</v>
      </c>
    </row>
    <row r="520" spans="1:11" x14ac:dyDescent="0.35">
      <c r="A520" s="328" t="s">
        <v>1590</v>
      </c>
      <c r="B520" t="s">
        <v>1591</v>
      </c>
      <c r="C520" s="328"/>
      <c r="D520" s="328" t="str">
        <f t="shared" si="12"/>
        <v>NACE F - 43.99 Other specialised construction activities n.e.c.</v>
      </c>
      <c r="K520" t="s">
        <v>5170</v>
      </c>
    </row>
    <row r="521" spans="1:11" x14ac:dyDescent="0.35">
      <c r="A521" s="325" t="s">
        <v>1592</v>
      </c>
      <c r="B521" t="s">
        <v>1593</v>
      </c>
      <c r="C521" s="328"/>
      <c r="D521" s="325" t="str">
        <f t="shared" si="12"/>
        <v>NACE G - WHOLESALE AND RETAIL TRADE</v>
      </c>
      <c r="K521" t="s">
        <v>5171</v>
      </c>
    </row>
    <row r="522" spans="1:11" x14ac:dyDescent="0.35">
      <c r="A522" s="324" t="s">
        <v>1594</v>
      </c>
      <c r="B522" t="s">
        <v>1595</v>
      </c>
      <c r="C522" s="328"/>
      <c r="D522" s="324" t="str">
        <f t="shared" si="12"/>
        <v>NACE G - 46 Wholesale trade</v>
      </c>
      <c r="K522" t="s">
        <v>5172</v>
      </c>
    </row>
    <row r="523" spans="1:11" x14ac:dyDescent="0.35">
      <c r="A523" s="327" t="s">
        <v>1596</v>
      </c>
      <c r="B523" t="s">
        <v>1597</v>
      </c>
      <c r="C523" s="328"/>
      <c r="D523" s="327" t="str">
        <f t="shared" si="12"/>
        <v>NACE G - 46.1 Wholesale on a fee or contract basis</v>
      </c>
      <c r="K523" t="s">
        <v>5173</v>
      </c>
    </row>
    <row r="524" spans="1:11" x14ac:dyDescent="0.35">
      <c r="A524" s="328" t="s">
        <v>1598</v>
      </c>
      <c r="B524" t="s">
        <v>1599</v>
      </c>
      <c r="C524" s="328"/>
      <c r="D524" s="328" t="str">
        <f t="shared" si="12"/>
        <v>NACE G - 46.11 Activities of agents involved in the wholesale of agricultural raw materials, live animals, textile raw materials and semi-finished goods</v>
      </c>
      <c r="K524" t="s">
        <v>5174</v>
      </c>
    </row>
    <row r="525" spans="1:11" x14ac:dyDescent="0.35">
      <c r="A525" s="328" t="s">
        <v>1600</v>
      </c>
      <c r="B525" t="s">
        <v>1601</v>
      </c>
      <c r="C525" s="328"/>
      <c r="D525" s="328" t="str">
        <f t="shared" si="12"/>
        <v>NACE G - 46.12 Activities of agents involved in the wholesale of fuels, ores, metals and industrial chemicals</v>
      </c>
      <c r="K525" t="s">
        <v>5175</v>
      </c>
    </row>
    <row r="526" spans="1:11" x14ac:dyDescent="0.35">
      <c r="A526" s="328" t="s">
        <v>1602</v>
      </c>
      <c r="B526" t="s">
        <v>1603</v>
      </c>
      <c r="C526" s="328"/>
      <c r="D526" s="328" t="str">
        <f t="shared" si="12"/>
        <v>NACE G - 46.13 Activities of agents involved in the wholesale of timber and building materials</v>
      </c>
      <c r="K526" t="s">
        <v>5176</v>
      </c>
    </row>
    <row r="527" spans="1:11" x14ac:dyDescent="0.35">
      <c r="A527" s="328" t="s">
        <v>1604</v>
      </c>
      <c r="B527" t="s">
        <v>1605</v>
      </c>
      <c r="C527" s="328"/>
      <c r="D527" s="328" t="str">
        <f t="shared" si="12"/>
        <v>NACE G - 46.14 Activities of agents involved in the wholesale of machinery, industrial equipment, ships and aircraft</v>
      </c>
      <c r="K527" t="s">
        <v>5177</v>
      </c>
    </row>
    <row r="528" spans="1:11" x14ac:dyDescent="0.35">
      <c r="A528" s="328" t="s">
        <v>1606</v>
      </c>
      <c r="B528" t="s">
        <v>1607</v>
      </c>
      <c r="C528" s="328"/>
      <c r="D528" s="328" t="str">
        <f t="shared" si="12"/>
        <v>NACE G - 46.15 Activities of agents involved in the wholesale of furniture, household goods, hardware and ironmongery</v>
      </c>
      <c r="K528" t="s">
        <v>5178</v>
      </c>
    </row>
    <row r="529" spans="1:11" x14ac:dyDescent="0.35">
      <c r="A529" s="328" t="s">
        <v>1608</v>
      </c>
      <c r="B529" t="s">
        <v>1609</v>
      </c>
      <c r="C529" s="328"/>
      <c r="D529" s="328" t="str">
        <f t="shared" si="12"/>
        <v>NACE G - 46.16 Activities of agents involved in the wholesale of textiles, clothing, fur, footwear and leather goods</v>
      </c>
      <c r="K529" t="s">
        <v>5179</v>
      </c>
    </row>
    <row r="530" spans="1:11" x14ac:dyDescent="0.35">
      <c r="A530" s="328" t="s">
        <v>1610</v>
      </c>
      <c r="B530" t="s">
        <v>1611</v>
      </c>
      <c r="C530" s="328"/>
      <c r="D530" s="328" t="str">
        <f t="shared" si="12"/>
        <v>NACE G - 46.17 Activities of agents involved in the wholesale of food, beverages and tobacco</v>
      </c>
      <c r="K530" t="s">
        <v>5180</v>
      </c>
    </row>
    <row r="531" spans="1:11" x14ac:dyDescent="0.35">
      <c r="A531" s="328" t="s">
        <v>1612</v>
      </c>
      <c r="B531" t="s">
        <v>1613</v>
      </c>
      <c r="C531" s="328"/>
      <c r="D531" s="328" t="str">
        <f t="shared" si="12"/>
        <v>NACE G - 46.18 Activities of agents involved in the wholesale of other particular products</v>
      </c>
      <c r="K531" t="s">
        <v>5181</v>
      </c>
    </row>
    <row r="532" spans="1:11" x14ac:dyDescent="0.35">
      <c r="A532" s="328" t="s">
        <v>1614</v>
      </c>
      <c r="B532" t="s">
        <v>1615</v>
      </c>
      <c r="C532" s="328"/>
      <c r="D532" s="328" t="str">
        <f t="shared" si="12"/>
        <v>NACE G - 46.19 Activities of agents involved in non-specialised wholesale</v>
      </c>
      <c r="K532" t="s">
        <v>5182</v>
      </c>
    </row>
    <row r="533" spans="1:11" x14ac:dyDescent="0.35">
      <c r="A533" s="327" t="s">
        <v>1616</v>
      </c>
      <c r="B533" t="s">
        <v>1617</v>
      </c>
      <c r="C533" s="328"/>
      <c r="D533" s="327" t="str">
        <f t="shared" si="12"/>
        <v>NACE G - 46.2 Wholesale of agricultural raw materials and live animals</v>
      </c>
      <c r="K533" t="s">
        <v>5183</v>
      </c>
    </row>
    <row r="534" spans="1:11" x14ac:dyDescent="0.35">
      <c r="A534" s="328" t="s">
        <v>1618</v>
      </c>
      <c r="B534" t="s">
        <v>1619</v>
      </c>
      <c r="C534" s="328"/>
      <c r="D534" s="328" t="str">
        <f t="shared" si="12"/>
        <v>NACE G - 46.21 Wholesale of grain, unmanufactured tobacco, seeds and animal feeds</v>
      </c>
      <c r="K534" t="s">
        <v>5184</v>
      </c>
    </row>
    <row r="535" spans="1:11" x14ac:dyDescent="0.35">
      <c r="A535" s="328" t="s">
        <v>1620</v>
      </c>
      <c r="B535" t="s">
        <v>1621</v>
      </c>
      <c r="C535" s="328"/>
      <c r="D535" s="328" t="str">
        <f t="shared" si="12"/>
        <v>NACE G - 46.22 Wholesale of flowers and plants</v>
      </c>
      <c r="K535" t="s">
        <v>5185</v>
      </c>
    </row>
    <row r="536" spans="1:11" x14ac:dyDescent="0.35">
      <c r="A536" s="328" t="s">
        <v>1622</v>
      </c>
      <c r="B536" t="s">
        <v>1623</v>
      </c>
      <c r="C536" s="328"/>
      <c r="D536" s="328" t="str">
        <f t="shared" si="12"/>
        <v>NACE G - 46.23 Wholesale of live animals</v>
      </c>
      <c r="K536" t="s">
        <v>5186</v>
      </c>
    </row>
    <row r="537" spans="1:11" x14ac:dyDescent="0.35">
      <c r="A537" s="328" t="s">
        <v>1624</v>
      </c>
      <c r="B537" t="s">
        <v>1625</v>
      </c>
      <c r="C537" s="328"/>
      <c r="D537" s="328" t="str">
        <f t="shared" si="12"/>
        <v>NACE G - 46.24 Wholesale of hides, skins and leather</v>
      </c>
      <c r="K537" t="s">
        <v>5187</v>
      </c>
    </row>
    <row r="538" spans="1:11" x14ac:dyDescent="0.35">
      <c r="A538" s="327" t="s">
        <v>1626</v>
      </c>
      <c r="B538" t="s">
        <v>1627</v>
      </c>
      <c r="C538" s="328"/>
      <c r="D538" s="327" t="str">
        <f t="shared" si="12"/>
        <v>NACE G - 46.3 Wholesale of food, beverages and tobacco</v>
      </c>
      <c r="K538" t="s">
        <v>5188</v>
      </c>
    </row>
    <row r="539" spans="1:11" x14ac:dyDescent="0.35">
      <c r="A539" s="328" t="s">
        <v>1628</v>
      </c>
      <c r="B539" t="s">
        <v>1629</v>
      </c>
      <c r="C539" s="328"/>
      <c r="D539" s="328" t="str">
        <f t="shared" si="12"/>
        <v>NACE G - 46.31 Wholesale of fruit and vegetables</v>
      </c>
      <c r="K539" t="s">
        <v>5189</v>
      </c>
    </row>
    <row r="540" spans="1:11" x14ac:dyDescent="0.35">
      <c r="A540" s="328" t="s">
        <v>1630</v>
      </c>
      <c r="B540" t="s">
        <v>1631</v>
      </c>
      <c r="C540" s="328"/>
      <c r="D540" s="328" t="str">
        <f t="shared" si="12"/>
        <v>NACE G - 46.32 Wholesale of meat, meat products, fish and fish products</v>
      </c>
      <c r="K540" t="s">
        <v>5190</v>
      </c>
    </row>
    <row r="541" spans="1:11" x14ac:dyDescent="0.35">
      <c r="A541" s="328" t="s">
        <v>1632</v>
      </c>
      <c r="B541" t="s">
        <v>1633</v>
      </c>
      <c r="C541" s="328"/>
      <c r="D541" s="328" t="str">
        <f t="shared" si="12"/>
        <v>NACE G - 46.33 Wholesale of dairy products, eggs and edible oils and fats</v>
      </c>
      <c r="K541" t="s">
        <v>5191</v>
      </c>
    </row>
    <row r="542" spans="1:11" x14ac:dyDescent="0.35">
      <c r="A542" s="328" t="s">
        <v>1634</v>
      </c>
      <c r="B542" t="s">
        <v>1635</v>
      </c>
      <c r="C542" s="328"/>
      <c r="D542" s="328" t="str">
        <f t="shared" si="12"/>
        <v>NACE G - 46.34 Wholesale of beverages</v>
      </c>
      <c r="K542" t="s">
        <v>5192</v>
      </c>
    </row>
    <row r="543" spans="1:11" x14ac:dyDescent="0.35">
      <c r="A543" s="328" t="s">
        <v>1636</v>
      </c>
      <c r="B543" t="s">
        <v>1637</v>
      </c>
      <c r="C543" s="328"/>
      <c r="D543" s="328" t="str">
        <f t="shared" si="12"/>
        <v>NACE G - 46.35 Wholesale of tobacco products</v>
      </c>
      <c r="K543" t="s">
        <v>5193</v>
      </c>
    </row>
    <row r="544" spans="1:11" x14ac:dyDescent="0.35">
      <c r="A544" s="328" t="s">
        <v>1638</v>
      </c>
      <c r="B544" t="s">
        <v>1639</v>
      </c>
      <c r="C544" s="328"/>
      <c r="D544" s="328" t="str">
        <f t="shared" si="12"/>
        <v>NACE G - 46.36 Wholesale of sugar, chocolate and sugar confectionery</v>
      </c>
      <c r="K544" t="s">
        <v>5194</v>
      </c>
    </row>
    <row r="545" spans="1:11" x14ac:dyDescent="0.35">
      <c r="A545" s="328" t="s">
        <v>1640</v>
      </c>
      <c r="B545" t="s">
        <v>1641</v>
      </c>
      <c r="C545" s="328"/>
      <c r="D545" s="328" t="str">
        <f t="shared" si="12"/>
        <v>NACE G - 46.37 Wholesale of coffee, tea, cocoa and spices</v>
      </c>
      <c r="K545" t="s">
        <v>5195</v>
      </c>
    </row>
    <row r="546" spans="1:11" x14ac:dyDescent="0.35">
      <c r="A546" s="328" t="s">
        <v>1642</v>
      </c>
      <c r="B546" t="s">
        <v>1643</v>
      </c>
      <c r="C546" s="328"/>
      <c r="D546" s="328" t="str">
        <f t="shared" si="12"/>
        <v>NACE G - 46.38 Wholesale of other food</v>
      </c>
      <c r="K546" t="s">
        <v>4651</v>
      </c>
    </row>
    <row r="547" spans="1:11" x14ac:dyDescent="0.35">
      <c r="A547" s="328" t="s">
        <v>1644</v>
      </c>
      <c r="B547" t="s">
        <v>1645</v>
      </c>
      <c r="C547" s="328"/>
      <c r="D547" s="328" t="str">
        <f t="shared" si="12"/>
        <v>NACE G - 46.39 Non-specialised wholesale of food, beverages and tobacco</v>
      </c>
      <c r="K547" t="s">
        <v>5196</v>
      </c>
    </row>
    <row r="548" spans="1:11" x14ac:dyDescent="0.35">
      <c r="A548" s="327" t="s">
        <v>1646</v>
      </c>
      <c r="B548" t="s">
        <v>1647</v>
      </c>
      <c r="C548" s="328"/>
      <c r="D548" s="327" t="str">
        <f t="shared" si="12"/>
        <v>NACE G - 46.4 Wholesale of household goods</v>
      </c>
      <c r="K548" t="s">
        <v>5197</v>
      </c>
    </row>
    <row r="549" spans="1:11" x14ac:dyDescent="0.35">
      <c r="A549" s="328" t="s">
        <v>1648</v>
      </c>
      <c r="B549" t="s">
        <v>1649</v>
      </c>
      <c r="C549" s="328"/>
      <c r="D549" s="328" t="str">
        <f t="shared" si="12"/>
        <v>NACE G - 46.41 Wholesale of textiles</v>
      </c>
      <c r="K549" t="s">
        <v>5198</v>
      </c>
    </row>
    <row r="550" spans="1:11" x14ac:dyDescent="0.35">
      <c r="A550" s="328" t="s">
        <v>1650</v>
      </c>
      <c r="B550" t="s">
        <v>1651</v>
      </c>
      <c r="C550" s="328"/>
      <c r="D550" s="328" t="str">
        <f t="shared" si="12"/>
        <v>NACE G - 46.42 Wholesale of clothing and footwear</v>
      </c>
      <c r="K550" t="s">
        <v>5199</v>
      </c>
    </row>
    <row r="551" spans="1:11" x14ac:dyDescent="0.35">
      <c r="A551" s="328" t="s">
        <v>1652</v>
      </c>
      <c r="B551" t="s">
        <v>1653</v>
      </c>
      <c r="C551" s="328"/>
      <c r="D551" s="328" t="str">
        <f t="shared" si="12"/>
        <v>NACE G - 46.43 Wholesale of electrical household appliances</v>
      </c>
      <c r="K551" t="s">
        <v>5200</v>
      </c>
    </row>
    <row r="552" spans="1:11" x14ac:dyDescent="0.35">
      <c r="A552" s="328" t="s">
        <v>1654</v>
      </c>
      <c r="B552" t="s">
        <v>1655</v>
      </c>
      <c r="C552" s="328"/>
      <c r="D552" s="328" t="str">
        <f t="shared" si="12"/>
        <v>NACE G - 46.44 Wholesale of china and glassware and cleaning materials</v>
      </c>
      <c r="K552" t="s">
        <v>5201</v>
      </c>
    </row>
    <row r="553" spans="1:11" x14ac:dyDescent="0.35">
      <c r="A553" s="328" t="s">
        <v>1656</v>
      </c>
      <c r="B553" t="s">
        <v>1657</v>
      </c>
      <c r="C553" s="328"/>
      <c r="D553" s="328" t="str">
        <f t="shared" si="12"/>
        <v>NACE G - 46.45 Wholesale of perfume and cosmetics</v>
      </c>
      <c r="K553" t="s">
        <v>5202</v>
      </c>
    </row>
    <row r="554" spans="1:11" x14ac:dyDescent="0.35">
      <c r="A554" s="328" t="s">
        <v>1658</v>
      </c>
      <c r="B554" t="s">
        <v>1659</v>
      </c>
      <c r="C554" s="328"/>
      <c r="D554" s="328" t="str">
        <f t="shared" si="12"/>
        <v>NACE G - 46.46 Wholesale of pharmaceutical and medical goods</v>
      </c>
      <c r="K554" t="s">
        <v>5203</v>
      </c>
    </row>
    <row r="555" spans="1:11" x14ac:dyDescent="0.35">
      <c r="A555" s="328" t="s">
        <v>1660</v>
      </c>
      <c r="B555" t="s">
        <v>1661</v>
      </c>
      <c r="C555" s="328"/>
      <c r="D555" s="328" t="str">
        <f t="shared" si="12"/>
        <v>NACE G - 46.47 Wholesale of household, office and shop furniture, carpets and lighting equipment</v>
      </c>
      <c r="K555" t="s">
        <v>5204</v>
      </c>
    </row>
    <row r="556" spans="1:11" x14ac:dyDescent="0.35">
      <c r="A556" s="328" t="s">
        <v>1662</v>
      </c>
      <c r="B556" t="s">
        <v>1663</v>
      </c>
      <c r="C556" s="328"/>
      <c r="D556" s="328" t="str">
        <f t="shared" si="12"/>
        <v>NACE G - 46.48 Wholesale of watches and jewellery</v>
      </c>
      <c r="K556" t="s">
        <v>5205</v>
      </c>
    </row>
    <row r="557" spans="1:11" x14ac:dyDescent="0.35">
      <c r="A557" s="328" t="s">
        <v>1664</v>
      </c>
      <c r="B557" t="s">
        <v>1665</v>
      </c>
      <c r="C557" s="328"/>
      <c r="D557" s="328" t="str">
        <f t="shared" si="12"/>
        <v>NACE G - 46.49 Wholesale of other household goods</v>
      </c>
      <c r="K557" t="s">
        <v>5206</v>
      </c>
    </row>
    <row r="558" spans="1:11" x14ac:dyDescent="0.35">
      <c r="A558" s="327" t="s">
        <v>1666</v>
      </c>
      <c r="B558" t="s">
        <v>1667</v>
      </c>
      <c r="C558" s="328"/>
      <c r="D558" s="327" t="str">
        <f t="shared" si="12"/>
        <v>NACE G - 46.5 Wholesale of information and communication equipment</v>
      </c>
      <c r="K558" t="s">
        <v>5207</v>
      </c>
    </row>
    <row r="559" spans="1:11" x14ac:dyDescent="0.35">
      <c r="A559" s="328" t="s">
        <v>1668</v>
      </c>
      <c r="B559" t="s">
        <v>1669</v>
      </c>
      <c r="C559" s="328"/>
      <c r="D559" s="328" t="str">
        <f t="shared" si="12"/>
        <v>NACE G - 46.50 Wholesale of information and communication equipment</v>
      </c>
      <c r="K559" t="s">
        <v>5208</v>
      </c>
    </row>
    <row r="560" spans="1:11" x14ac:dyDescent="0.35">
      <c r="A560" s="327" t="s">
        <v>1670</v>
      </c>
      <c r="B560" t="s">
        <v>1671</v>
      </c>
      <c r="C560" s="328"/>
      <c r="D560" s="327" t="str">
        <f t="shared" si="12"/>
        <v>NACE G - 46.6 Wholesale of other machinery, equipment and supplies</v>
      </c>
      <c r="K560" t="s">
        <v>5209</v>
      </c>
    </row>
    <row r="561" spans="1:11" x14ac:dyDescent="0.35">
      <c r="A561" s="328" t="s">
        <v>1672</v>
      </c>
      <c r="B561" t="s">
        <v>1673</v>
      </c>
      <c r="C561" s="328"/>
      <c r="D561" s="328" t="str">
        <f t="shared" si="12"/>
        <v>NACE G - 46.61 Wholesale of agricultural machinery, equipment and supplies</v>
      </c>
      <c r="K561" t="s">
        <v>5210</v>
      </c>
    </row>
    <row r="562" spans="1:11" x14ac:dyDescent="0.35">
      <c r="A562" s="328" t="s">
        <v>1674</v>
      </c>
      <c r="B562" t="s">
        <v>1675</v>
      </c>
      <c r="C562" s="328"/>
      <c r="D562" s="328" t="str">
        <f t="shared" si="12"/>
        <v>NACE G - 46.62 Wholesale of machine tools</v>
      </c>
      <c r="K562" t="s">
        <v>5211</v>
      </c>
    </row>
    <row r="563" spans="1:11" x14ac:dyDescent="0.35">
      <c r="A563" s="328" t="s">
        <v>1676</v>
      </c>
      <c r="B563" t="s">
        <v>1677</v>
      </c>
      <c r="C563" s="328"/>
      <c r="D563" s="328" t="str">
        <f t="shared" si="12"/>
        <v>NACE G - 46.63 Wholesale of mining, construction and civil engineering machinery</v>
      </c>
      <c r="K563" t="s">
        <v>5212</v>
      </c>
    </row>
    <row r="564" spans="1:11" x14ac:dyDescent="0.35">
      <c r="A564" s="328" t="s">
        <v>1678</v>
      </c>
      <c r="B564" t="s">
        <v>1679</v>
      </c>
      <c r="C564" s="328"/>
      <c r="D564" s="328" t="str">
        <f t="shared" si="12"/>
        <v>NACE G - 46.64 Wholesale of other machinery and equipment</v>
      </c>
      <c r="K564" t="s">
        <v>5213</v>
      </c>
    </row>
    <row r="565" spans="1:11" x14ac:dyDescent="0.35">
      <c r="A565" s="327" t="s">
        <v>1680</v>
      </c>
      <c r="B565" t="s">
        <v>1681</v>
      </c>
      <c r="C565" s="328"/>
      <c r="D565" s="327" t="str">
        <f t="shared" si="12"/>
        <v>NACE G - 46.7 Wholesale of motor vehicles, motorcycles and related parts and accessories</v>
      </c>
      <c r="K565" t="s">
        <v>5214</v>
      </c>
    </row>
    <row r="566" spans="1:11" x14ac:dyDescent="0.35">
      <c r="A566" s="328" t="s">
        <v>1682</v>
      </c>
      <c r="B566" t="s">
        <v>1683</v>
      </c>
      <c r="C566" s="328"/>
      <c r="D566" s="328" t="str">
        <f t="shared" si="12"/>
        <v>NACE G - 46.71 Wholesale of motor vehicles</v>
      </c>
      <c r="K566" t="s">
        <v>5215</v>
      </c>
    </row>
    <row r="567" spans="1:11" x14ac:dyDescent="0.35">
      <c r="A567" s="328" t="s">
        <v>1684</v>
      </c>
      <c r="B567" t="s">
        <v>1685</v>
      </c>
      <c r="C567" s="328"/>
      <c r="D567" s="328" t="str">
        <f t="shared" si="12"/>
        <v>NACE G - 46.72 Wholesale of motor vehicle parts and accessories</v>
      </c>
      <c r="K567" t="s">
        <v>5216</v>
      </c>
    </row>
    <row r="568" spans="1:11" x14ac:dyDescent="0.35">
      <c r="A568" s="328" t="s">
        <v>1686</v>
      </c>
      <c r="B568" t="s">
        <v>1687</v>
      </c>
      <c r="C568" s="328"/>
      <c r="D568" s="328" t="str">
        <f t="shared" si="12"/>
        <v>NACE G - 46.73 Wholesale of motorcycles, motorcycle parts and accessories</v>
      </c>
      <c r="K568" t="s">
        <v>5217</v>
      </c>
    </row>
    <row r="569" spans="1:11" x14ac:dyDescent="0.35">
      <c r="A569" s="327" t="s">
        <v>1688</v>
      </c>
      <c r="B569" t="s">
        <v>1689</v>
      </c>
      <c r="C569" s="328"/>
      <c r="D569" s="327" t="str">
        <f t="shared" si="12"/>
        <v>NACE G - 46.8 Other specialised wholesale</v>
      </c>
      <c r="K569" t="s">
        <v>5218</v>
      </c>
    </row>
    <row r="570" spans="1:11" x14ac:dyDescent="0.35">
      <c r="A570" s="328" t="s">
        <v>1690</v>
      </c>
      <c r="B570" t="s">
        <v>1691</v>
      </c>
      <c r="C570" s="328"/>
      <c r="D570" s="328" t="str">
        <f t="shared" si="12"/>
        <v>NACE G - 46.81 Wholesale of solid, liquid and gaseous fuels and related products</v>
      </c>
      <c r="K570" t="s">
        <v>5219</v>
      </c>
    </row>
    <row r="571" spans="1:11" x14ac:dyDescent="0.35">
      <c r="A571" s="328" t="s">
        <v>1692</v>
      </c>
      <c r="B571" t="s">
        <v>1693</v>
      </c>
      <c r="C571" s="328"/>
      <c r="D571" s="328" t="str">
        <f t="shared" si="12"/>
        <v>NACE G - 46.82 Wholesale of metals and metal ores</v>
      </c>
      <c r="K571" t="s">
        <v>5220</v>
      </c>
    </row>
    <row r="572" spans="1:11" x14ac:dyDescent="0.35">
      <c r="A572" s="328" t="s">
        <v>1694</v>
      </c>
      <c r="B572" t="s">
        <v>1695</v>
      </c>
      <c r="C572" s="328"/>
      <c r="D572" s="328" t="str">
        <f t="shared" si="12"/>
        <v>NACE G - 46.83 Wholesale of wood, construction materials and sanitary equipment</v>
      </c>
      <c r="K572" t="s">
        <v>5221</v>
      </c>
    </row>
    <row r="573" spans="1:11" x14ac:dyDescent="0.35">
      <c r="A573" s="328" t="s">
        <v>1696</v>
      </c>
      <c r="B573" t="s">
        <v>1697</v>
      </c>
      <c r="C573" s="328"/>
      <c r="D573" s="328" t="str">
        <f t="shared" si="12"/>
        <v>NACE G - 46.84 Wholesale of hardware, plumbing and heating equipment and supplies</v>
      </c>
      <c r="K573" t="s">
        <v>5222</v>
      </c>
    </row>
    <row r="574" spans="1:11" x14ac:dyDescent="0.35">
      <c r="A574" s="328" t="s">
        <v>1698</v>
      </c>
      <c r="B574" t="s">
        <v>1699</v>
      </c>
      <c r="C574" s="328"/>
      <c r="D574" s="328" t="str">
        <f t="shared" si="12"/>
        <v>NACE G - 46.85 Wholesale of chemical products</v>
      </c>
      <c r="K574" t="s">
        <v>5223</v>
      </c>
    </row>
    <row r="575" spans="1:11" x14ac:dyDescent="0.35">
      <c r="A575" s="328" t="s">
        <v>1700</v>
      </c>
      <c r="B575" t="s">
        <v>1701</v>
      </c>
      <c r="C575" s="328"/>
      <c r="D575" s="328" t="str">
        <f t="shared" si="12"/>
        <v>NACE G - 46.86 Wholesale of other intermediate products</v>
      </c>
      <c r="K575" t="s">
        <v>5224</v>
      </c>
    </row>
    <row r="576" spans="1:11" x14ac:dyDescent="0.35">
      <c r="A576" s="328" t="s">
        <v>1702</v>
      </c>
      <c r="B576" t="s">
        <v>1703</v>
      </c>
      <c r="C576" s="328"/>
      <c r="D576" s="328" t="str">
        <f t="shared" si="12"/>
        <v>NACE G - 46.87 Wholesale of waste and scrap</v>
      </c>
      <c r="K576" t="s">
        <v>5225</v>
      </c>
    </row>
    <row r="577" spans="1:11" x14ac:dyDescent="0.35">
      <c r="A577" s="328" t="s">
        <v>1704</v>
      </c>
      <c r="B577" t="s">
        <v>1705</v>
      </c>
      <c r="C577" s="328"/>
      <c r="D577" s="328" t="str">
        <f t="shared" si="12"/>
        <v>NACE G - 46.89 Other specialised wholesale n.e.c.</v>
      </c>
      <c r="K577" t="s">
        <v>5226</v>
      </c>
    </row>
    <row r="578" spans="1:11" x14ac:dyDescent="0.35">
      <c r="A578" s="327" t="s">
        <v>1706</v>
      </c>
      <c r="B578" t="s">
        <v>1707</v>
      </c>
      <c r="C578" s="328"/>
      <c r="D578" s="327" t="str">
        <f t="shared" ref="D578:D641" si="13">_xlfn.CONCAT("NACE ", A578)</f>
        <v>NACE G - 46.9 Non-specialised wholesale trade</v>
      </c>
      <c r="K578" t="s">
        <v>4652</v>
      </c>
    </row>
    <row r="579" spans="1:11" x14ac:dyDescent="0.35">
      <c r="A579" s="328" t="s">
        <v>1708</v>
      </c>
      <c r="B579" t="s">
        <v>1709</v>
      </c>
      <c r="C579" s="328"/>
      <c r="D579" s="328" t="str">
        <f t="shared" si="13"/>
        <v>NACE G - 46.90 Non-specialised wholesale trade</v>
      </c>
      <c r="K579" t="s">
        <v>5227</v>
      </c>
    </row>
    <row r="580" spans="1:11" x14ac:dyDescent="0.35">
      <c r="A580" s="324" t="s">
        <v>1710</v>
      </c>
      <c r="B580" t="s">
        <v>1711</v>
      </c>
      <c r="C580" s="328"/>
      <c r="D580" s="324" t="str">
        <f t="shared" si="13"/>
        <v>NACE G - 47 Retail trade</v>
      </c>
      <c r="K580" t="s">
        <v>5228</v>
      </c>
    </row>
    <row r="581" spans="1:11" x14ac:dyDescent="0.35">
      <c r="A581" s="327" t="s">
        <v>1712</v>
      </c>
      <c r="B581" t="s">
        <v>1713</v>
      </c>
      <c r="C581" s="328"/>
      <c r="D581" s="327" t="str">
        <f t="shared" si="13"/>
        <v>NACE G - 47.1 Non-specialised retail sale</v>
      </c>
      <c r="K581" t="s">
        <v>5229</v>
      </c>
    </row>
    <row r="582" spans="1:11" x14ac:dyDescent="0.35">
      <c r="A582" s="328" t="s">
        <v>1714</v>
      </c>
      <c r="B582" t="s">
        <v>1715</v>
      </c>
      <c r="C582" s="328"/>
      <c r="D582" s="328" t="str">
        <f t="shared" si="13"/>
        <v>NACE G - 47.11 Non-specialised retail sale of predominately food, beverages or tobacco</v>
      </c>
      <c r="K582" t="s">
        <v>5230</v>
      </c>
    </row>
    <row r="583" spans="1:11" x14ac:dyDescent="0.35">
      <c r="A583" s="328" t="s">
        <v>1716</v>
      </c>
      <c r="B583" t="s">
        <v>1717</v>
      </c>
      <c r="C583" s="328"/>
      <c r="D583" s="328" t="str">
        <f t="shared" si="13"/>
        <v>NACE G - 47.12 Other non-specialised retail sale</v>
      </c>
      <c r="K583" t="s">
        <v>5231</v>
      </c>
    </row>
    <row r="584" spans="1:11" x14ac:dyDescent="0.35">
      <c r="A584" s="327" t="s">
        <v>1718</v>
      </c>
      <c r="B584" t="s">
        <v>1719</v>
      </c>
      <c r="C584" s="328"/>
      <c r="D584" s="327" t="str">
        <f t="shared" si="13"/>
        <v>NACE G - 47.2 Retail sale of food, beverages and tobacco</v>
      </c>
      <c r="K584" t="s">
        <v>5232</v>
      </c>
    </row>
    <row r="585" spans="1:11" x14ac:dyDescent="0.35">
      <c r="A585" s="328" t="s">
        <v>1720</v>
      </c>
      <c r="B585" t="s">
        <v>1721</v>
      </c>
      <c r="C585" s="328"/>
      <c r="D585" s="328" t="str">
        <f t="shared" si="13"/>
        <v>NACE G - 47.21 Retail sale of fruit and vegetables</v>
      </c>
      <c r="K585" t="s">
        <v>5233</v>
      </c>
    </row>
    <row r="586" spans="1:11" x14ac:dyDescent="0.35">
      <c r="A586" s="328" t="s">
        <v>1722</v>
      </c>
      <c r="B586" t="s">
        <v>1723</v>
      </c>
      <c r="C586" s="328"/>
      <c r="D586" s="328" t="str">
        <f t="shared" si="13"/>
        <v>NACE G - 47.22 Retail sale of meat and meat products</v>
      </c>
      <c r="K586" t="s">
        <v>5234</v>
      </c>
    </row>
    <row r="587" spans="1:11" x14ac:dyDescent="0.35">
      <c r="A587" s="328" t="s">
        <v>1724</v>
      </c>
      <c r="B587" t="s">
        <v>1725</v>
      </c>
      <c r="C587" s="328"/>
      <c r="D587" s="328" t="str">
        <f t="shared" si="13"/>
        <v>NACE G - 47.23 Retail sale of fish, crustaceans and molluscs</v>
      </c>
      <c r="K587" t="s">
        <v>5235</v>
      </c>
    </row>
    <row r="588" spans="1:11" x14ac:dyDescent="0.35">
      <c r="A588" s="328" t="s">
        <v>1726</v>
      </c>
      <c r="B588" t="s">
        <v>1727</v>
      </c>
      <c r="C588" s="328"/>
      <c r="D588" s="328" t="str">
        <f t="shared" si="13"/>
        <v>NACE G - 47.24 Retail sale of bread, cake and confectionery</v>
      </c>
      <c r="K588" t="s">
        <v>5236</v>
      </c>
    </row>
    <row r="589" spans="1:11" x14ac:dyDescent="0.35">
      <c r="A589" s="328" t="s">
        <v>1728</v>
      </c>
      <c r="B589" t="s">
        <v>1729</v>
      </c>
      <c r="C589" s="328"/>
      <c r="D589" s="328" t="str">
        <f t="shared" si="13"/>
        <v>NACE G - 47.25 Retail sale of beverages</v>
      </c>
      <c r="K589" t="s">
        <v>5237</v>
      </c>
    </row>
    <row r="590" spans="1:11" x14ac:dyDescent="0.35">
      <c r="A590" s="328" t="s">
        <v>1730</v>
      </c>
      <c r="B590" t="s">
        <v>1731</v>
      </c>
      <c r="C590" s="328"/>
      <c r="D590" s="328" t="str">
        <f t="shared" si="13"/>
        <v>NACE G - 47.26 Retail sale of tobacco products</v>
      </c>
      <c r="K590" t="s">
        <v>5238</v>
      </c>
    </row>
    <row r="591" spans="1:11" x14ac:dyDescent="0.35">
      <c r="A591" s="328" t="s">
        <v>1732</v>
      </c>
      <c r="B591" t="s">
        <v>1733</v>
      </c>
      <c r="C591" s="328"/>
      <c r="D591" s="328" t="str">
        <f t="shared" si="13"/>
        <v>NACE G - 47.27 Retail sale of other food</v>
      </c>
      <c r="K591" t="s">
        <v>5239</v>
      </c>
    </row>
    <row r="592" spans="1:11" x14ac:dyDescent="0.35">
      <c r="A592" s="327" t="s">
        <v>1734</v>
      </c>
      <c r="B592" t="s">
        <v>1735</v>
      </c>
      <c r="C592" s="328"/>
      <c r="D592" s="327" t="str">
        <f t="shared" si="13"/>
        <v>NACE G - 47.3 Retail sale of automotive fuel</v>
      </c>
      <c r="K592" t="s">
        <v>5240</v>
      </c>
    </row>
    <row r="593" spans="1:11" x14ac:dyDescent="0.35">
      <c r="A593" s="328" t="s">
        <v>1736</v>
      </c>
      <c r="B593" t="s">
        <v>1737</v>
      </c>
      <c r="C593" s="328"/>
      <c r="D593" s="328" t="str">
        <f t="shared" si="13"/>
        <v>NACE G - 47.30 Retail sale of automotive fuel</v>
      </c>
      <c r="K593" t="s">
        <v>5241</v>
      </c>
    </row>
    <row r="594" spans="1:11" x14ac:dyDescent="0.35">
      <c r="A594" s="327" t="s">
        <v>1738</v>
      </c>
      <c r="B594" t="s">
        <v>1739</v>
      </c>
      <c r="C594" s="328"/>
      <c r="D594" s="327" t="str">
        <f t="shared" si="13"/>
        <v>NACE G - 47.4 Retail sale of information and communication equipment</v>
      </c>
      <c r="K594" t="s">
        <v>5242</v>
      </c>
    </row>
    <row r="595" spans="1:11" x14ac:dyDescent="0.35">
      <c r="A595" s="328" t="s">
        <v>1740</v>
      </c>
      <c r="B595" t="s">
        <v>1741</v>
      </c>
      <c r="C595" s="328"/>
      <c r="D595" s="328" t="str">
        <f t="shared" si="13"/>
        <v>NACE G - 47.40 Retail sale of information and communication equipment</v>
      </c>
      <c r="K595" t="s">
        <v>5243</v>
      </c>
    </row>
    <row r="596" spans="1:11" x14ac:dyDescent="0.35">
      <c r="A596" s="327" t="s">
        <v>1742</v>
      </c>
      <c r="B596" t="s">
        <v>1743</v>
      </c>
      <c r="C596" s="328"/>
      <c r="D596" s="327" t="str">
        <f t="shared" si="13"/>
        <v>NACE G - 47.5 Retail sale of other household equipment</v>
      </c>
      <c r="K596" t="s">
        <v>5244</v>
      </c>
    </row>
    <row r="597" spans="1:11" x14ac:dyDescent="0.35">
      <c r="A597" s="328" t="s">
        <v>1744</v>
      </c>
      <c r="B597" t="s">
        <v>1745</v>
      </c>
      <c r="C597" s="328"/>
      <c r="D597" s="328" t="str">
        <f t="shared" si="13"/>
        <v>NACE G - 47.51 Retail sale of textiles</v>
      </c>
      <c r="K597" t="s">
        <v>5245</v>
      </c>
    </row>
    <row r="598" spans="1:11" x14ac:dyDescent="0.35">
      <c r="A598" s="328" t="s">
        <v>1746</v>
      </c>
      <c r="B598" t="s">
        <v>1747</v>
      </c>
      <c r="C598" s="328"/>
      <c r="D598" s="328" t="str">
        <f t="shared" si="13"/>
        <v>NACE G - 47.52 Retail sale of hardware, building materials, paints and glass</v>
      </c>
      <c r="K598" t="s">
        <v>5246</v>
      </c>
    </row>
    <row r="599" spans="1:11" x14ac:dyDescent="0.35">
      <c r="A599" s="328" t="s">
        <v>1748</v>
      </c>
      <c r="B599" t="s">
        <v>1749</v>
      </c>
      <c r="C599" s="328"/>
      <c r="D599" s="328" t="str">
        <f t="shared" si="13"/>
        <v>NACE G - 47.53 Retail sale of carpets, rugs, wall and floor coverings</v>
      </c>
      <c r="K599" t="s">
        <v>5247</v>
      </c>
    </row>
    <row r="600" spans="1:11" x14ac:dyDescent="0.35">
      <c r="A600" s="328" t="s">
        <v>1750</v>
      </c>
      <c r="B600" t="s">
        <v>1751</v>
      </c>
      <c r="C600" s="328"/>
      <c r="D600" s="328" t="str">
        <f t="shared" si="13"/>
        <v>NACE G - 47.54 Retail sale of electrical household appliances</v>
      </c>
      <c r="K600" t="s">
        <v>5248</v>
      </c>
    </row>
    <row r="601" spans="1:11" x14ac:dyDescent="0.35">
      <c r="A601" s="328" t="s">
        <v>1752</v>
      </c>
      <c r="B601" t="s">
        <v>1753</v>
      </c>
      <c r="C601" s="328"/>
      <c r="D601" s="328" t="str">
        <f t="shared" si="13"/>
        <v>NACE G - 47.55 Retail sale of furniture, lighting equipment, tableware and other household goods</v>
      </c>
      <c r="K601" t="s">
        <v>5249</v>
      </c>
    </row>
    <row r="602" spans="1:11" x14ac:dyDescent="0.35">
      <c r="A602" s="327" t="s">
        <v>1754</v>
      </c>
      <c r="B602" t="s">
        <v>1755</v>
      </c>
      <c r="C602" s="328"/>
      <c r="D602" s="327" t="str">
        <f t="shared" si="13"/>
        <v>NACE G - 47.6 Retail sale of cultural and recreation goods</v>
      </c>
      <c r="K602" t="s">
        <v>5250</v>
      </c>
    </row>
    <row r="603" spans="1:11" x14ac:dyDescent="0.35">
      <c r="A603" s="328" t="s">
        <v>1756</v>
      </c>
      <c r="B603" t="s">
        <v>1757</v>
      </c>
      <c r="C603" s="328"/>
      <c r="D603" s="328" t="str">
        <f t="shared" si="13"/>
        <v>NACE G - 47.61 Retail sale of books</v>
      </c>
      <c r="K603" t="s">
        <v>5251</v>
      </c>
    </row>
    <row r="604" spans="1:11" x14ac:dyDescent="0.35">
      <c r="A604" s="328" t="s">
        <v>1758</v>
      </c>
      <c r="B604" t="s">
        <v>1759</v>
      </c>
      <c r="C604" s="328"/>
      <c r="D604" s="328" t="str">
        <f t="shared" si="13"/>
        <v>NACE G - 47.62 Retail sale of newspapers, and other periodical publications and stationery</v>
      </c>
      <c r="K604" t="s">
        <v>4653</v>
      </c>
    </row>
    <row r="605" spans="1:11" x14ac:dyDescent="0.35">
      <c r="A605" s="328" t="s">
        <v>1760</v>
      </c>
      <c r="B605" t="s">
        <v>1761</v>
      </c>
      <c r="C605" s="328"/>
      <c r="D605" s="328" t="str">
        <f t="shared" si="13"/>
        <v>NACE G - 47.63 Retail sale of sporting equipment</v>
      </c>
      <c r="K605" t="s">
        <v>5252</v>
      </c>
    </row>
    <row r="606" spans="1:11" x14ac:dyDescent="0.35">
      <c r="A606" s="328" t="s">
        <v>1762</v>
      </c>
      <c r="B606" t="s">
        <v>1763</v>
      </c>
      <c r="C606" s="328"/>
      <c r="D606" s="328" t="str">
        <f t="shared" si="13"/>
        <v>NACE G - 47.64 Retail sale of games and toys</v>
      </c>
      <c r="K606" t="s">
        <v>5253</v>
      </c>
    </row>
    <row r="607" spans="1:11" x14ac:dyDescent="0.35">
      <c r="A607" s="328" t="s">
        <v>1764</v>
      </c>
      <c r="B607" t="s">
        <v>1765</v>
      </c>
      <c r="C607" s="328"/>
      <c r="D607" s="328" t="str">
        <f t="shared" si="13"/>
        <v>NACE G - 47.69 Retail sale of cultural and recreational goods n.e.c.</v>
      </c>
      <c r="K607" t="s">
        <v>5254</v>
      </c>
    </row>
    <row r="608" spans="1:11" x14ac:dyDescent="0.35">
      <c r="A608" s="327" t="s">
        <v>1766</v>
      </c>
      <c r="B608" t="s">
        <v>1767</v>
      </c>
      <c r="C608" s="328"/>
      <c r="D608" s="327" t="str">
        <f t="shared" si="13"/>
        <v>NACE G - 47.7 Retail sale of other goods, except motor vehicles and motorcycles</v>
      </c>
      <c r="K608" t="s">
        <v>5255</v>
      </c>
    </row>
    <row r="609" spans="1:11" x14ac:dyDescent="0.35">
      <c r="A609" s="328" t="s">
        <v>1768</v>
      </c>
      <c r="B609" t="s">
        <v>1769</v>
      </c>
      <c r="C609" s="328"/>
      <c r="D609" s="328" t="str">
        <f t="shared" si="13"/>
        <v>NACE G - 47.71 Retail sale of clothing</v>
      </c>
      <c r="K609" t="s">
        <v>5256</v>
      </c>
    </row>
    <row r="610" spans="1:11" x14ac:dyDescent="0.35">
      <c r="A610" s="328" t="s">
        <v>1770</v>
      </c>
      <c r="B610" t="s">
        <v>1771</v>
      </c>
      <c r="C610" s="328"/>
      <c r="D610" s="328" t="str">
        <f t="shared" si="13"/>
        <v>NACE G - 47.72 Retail sale of footwear and leather goods</v>
      </c>
      <c r="K610" t="s">
        <v>5257</v>
      </c>
    </row>
    <row r="611" spans="1:11" x14ac:dyDescent="0.35">
      <c r="A611" s="328" t="s">
        <v>1772</v>
      </c>
      <c r="B611" t="s">
        <v>1773</v>
      </c>
      <c r="C611" s="328"/>
      <c r="D611" s="328" t="str">
        <f t="shared" si="13"/>
        <v>NACE G - 47.73 Retail sale of pharmaceutical products</v>
      </c>
      <c r="K611" t="s">
        <v>5258</v>
      </c>
    </row>
    <row r="612" spans="1:11" x14ac:dyDescent="0.35">
      <c r="A612" s="328" t="s">
        <v>1774</v>
      </c>
      <c r="B612" t="s">
        <v>1775</v>
      </c>
      <c r="C612" s="328"/>
      <c r="D612" s="328" t="str">
        <f t="shared" si="13"/>
        <v>NACE G - 47.74 Retail sale of medical and orthopaedic goods</v>
      </c>
      <c r="K612" t="s">
        <v>5259</v>
      </c>
    </row>
    <row r="613" spans="1:11" x14ac:dyDescent="0.35">
      <c r="A613" s="328" t="s">
        <v>1776</v>
      </c>
      <c r="B613" t="s">
        <v>1777</v>
      </c>
      <c r="C613" s="328"/>
      <c r="D613" s="328" t="str">
        <f t="shared" si="13"/>
        <v>NACE G - 47.75 Retail sale of cosmetic and toilet articles</v>
      </c>
      <c r="K613" t="s">
        <v>5260</v>
      </c>
    </row>
    <row r="614" spans="1:11" x14ac:dyDescent="0.35">
      <c r="A614" s="328" t="s">
        <v>1778</v>
      </c>
      <c r="B614" t="s">
        <v>1779</v>
      </c>
      <c r="C614" s="328"/>
      <c r="D614" s="328" t="str">
        <f t="shared" si="13"/>
        <v>NACE G - 47.76 Retail sale of flowers, plants, fertilisers, pets and pet food</v>
      </c>
      <c r="K614" t="s">
        <v>5261</v>
      </c>
    </row>
    <row r="615" spans="1:11" x14ac:dyDescent="0.35">
      <c r="A615" s="328" t="s">
        <v>1780</v>
      </c>
      <c r="B615" t="s">
        <v>1781</v>
      </c>
      <c r="C615" s="328"/>
      <c r="D615" s="328" t="str">
        <f t="shared" si="13"/>
        <v>NACE G - 47.77 Retail sale of watches and jewellery</v>
      </c>
      <c r="K615" t="s">
        <v>5262</v>
      </c>
    </row>
    <row r="616" spans="1:11" x14ac:dyDescent="0.35">
      <c r="A616" s="328" t="s">
        <v>1782</v>
      </c>
      <c r="B616" t="s">
        <v>1783</v>
      </c>
      <c r="C616" s="328"/>
      <c r="D616" s="328" t="str">
        <f t="shared" si="13"/>
        <v>NACE G - 47.78 Retail sale of other new goods</v>
      </c>
      <c r="K616" t="s">
        <v>5263</v>
      </c>
    </row>
    <row r="617" spans="1:11" x14ac:dyDescent="0.35">
      <c r="A617" s="328" t="s">
        <v>1784</v>
      </c>
      <c r="B617" t="s">
        <v>1785</v>
      </c>
      <c r="C617" s="328"/>
      <c r="D617" s="328" t="str">
        <f t="shared" si="13"/>
        <v>NACE G - 47.79 Retail sale of second-hand goods</v>
      </c>
      <c r="K617" t="s">
        <v>5264</v>
      </c>
    </row>
    <row r="618" spans="1:11" x14ac:dyDescent="0.35">
      <c r="A618" s="327" t="s">
        <v>1786</v>
      </c>
      <c r="B618" t="s">
        <v>1787</v>
      </c>
      <c r="C618" s="328"/>
      <c r="D618" s="327" t="str">
        <f t="shared" si="13"/>
        <v>NACE G - 47.8 Retail sale of motor vehicles, motorcycles and related parts and accessories</v>
      </c>
      <c r="K618" t="s">
        <v>5265</v>
      </c>
    </row>
    <row r="619" spans="1:11" x14ac:dyDescent="0.35">
      <c r="A619" s="328" t="s">
        <v>1788</v>
      </c>
      <c r="B619" t="s">
        <v>1789</v>
      </c>
      <c r="C619" s="328"/>
      <c r="D619" s="328" t="str">
        <f t="shared" si="13"/>
        <v>NACE G - 47.81 Retail sale of motor vehicles</v>
      </c>
      <c r="K619" t="s">
        <v>5266</v>
      </c>
    </row>
    <row r="620" spans="1:11" x14ac:dyDescent="0.35">
      <c r="A620" s="328" t="s">
        <v>1790</v>
      </c>
      <c r="B620" t="s">
        <v>1791</v>
      </c>
      <c r="C620" s="328"/>
      <c r="D620" s="328" t="str">
        <f t="shared" si="13"/>
        <v>NACE G - 47.82 Retail sale of motor vehicle parts and accessories</v>
      </c>
      <c r="K620" t="s">
        <v>5267</v>
      </c>
    </row>
    <row r="621" spans="1:11" x14ac:dyDescent="0.35">
      <c r="A621" s="328" t="s">
        <v>1792</v>
      </c>
      <c r="B621" t="s">
        <v>1793</v>
      </c>
      <c r="C621" s="328"/>
      <c r="D621" s="328" t="str">
        <f t="shared" si="13"/>
        <v>NACE G - 47.83 Retail sale of motorcycles, motorcycle parts and accessories</v>
      </c>
      <c r="K621" t="s">
        <v>5268</v>
      </c>
    </row>
    <row r="622" spans="1:11" x14ac:dyDescent="0.35">
      <c r="A622" s="327" t="s">
        <v>1794</v>
      </c>
      <c r="B622" t="s">
        <v>1795</v>
      </c>
      <c r="C622" s="328"/>
      <c r="D622" s="327" t="str">
        <f t="shared" si="13"/>
        <v>NACE G - 47.9 Intermediation service activities for retail sale</v>
      </c>
      <c r="K622" t="s">
        <v>5269</v>
      </c>
    </row>
    <row r="623" spans="1:11" x14ac:dyDescent="0.35">
      <c r="A623" s="328" t="s">
        <v>1796</v>
      </c>
      <c r="B623" t="s">
        <v>1797</v>
      </c>
      <c r="C623" s="328"/>
      <c r="D623" s="328" t="str">
        <f t="shared" si="13"/>
        <v>NACE G - 47.91 Intermediation service activities for non-specialised retail sale</v>
      </c>
      <c r="K623" t="s">
        <v>5270</v>
      </c>
    </row>
    <row r="624" spans="1:11" x14ac:dyDescent="0.35">
      <c r="A624" s="328" t="s">
        <v>1798</v>
      </c>
      <c r="B624" t="s">
        <v>1799</v>
      </c>
      <c r="C624" s="328"/>
      <c r="D624" s="328" t="str">
        <f t="shared" si="13"/>
        <v>NACE G - 47.92 Intermediation service activities for specialised retail sale</v>
      </c>
      <c r="K624" t="s">
        <v>5271</v>
      </c>
    </row>
    <row r="625" spans="1:11" x14ac:dyDescent="0.35">
      <c r="A625" s="325" t="s">
        <v>1800</v>
      </c>
      <c r="B625" t="s">
        <v>1801</v>
      </c>
      <c r="C625" s="328"/>
      <c r="D625" s="325" t="str">
        <f t="shared" si="13"/>
        <v>NACE H - TRANSPORTATION AND STORAGE</v>
      </c>
      <c r="K625" t="s">
        <v>5272</v>
      </c>
    </row>
    <row r="626" spans="1:11" x14ac:dyDescent="0.35">
      <c r="A626" s="324" t="s">
        <v>1802</v>
      </c>
      <c r="B626" t="s">
        <v>1803</v>
      </c>
      <c r="C626" s="328"/>
      <c r="D626" s="324" t="str">
        <f t="shared" si="13"/>
        <v>NACE H - 49 Land transport and transport via pipelines</v>
      </c>
      <c r="K626" t="s">
        <v>5273</v>
      </c>
    </row>
    <row r="627" spans="1:11" x14ac:dyDescent="0.35">
      <c r="A627" s="327" t="s">
        <v>1804</v>
      </c>
      <c r="B627" t="s">
        <v>1805</v>
      </c>
      <c r="C627" s="328"/>
      <c r="D627" s="327" t="str">
        <f t="shared" si="13"/>
        <v>NACE H - 49.1 Passenger rail transport</v>
      </c>
      <c r="K627" t="s">
        <v>5274</v>
      </c>
    </row>
    <row r="628" spans="1:11" x14ac:dyDescent="0.35">
      <c r="A628" s="328" t="s">
        <v>1806</v>
      </c>
      <c r="B628" t="s">
        <v>1807</v>
      </c>
      <c r="C628" s="328"/>
      <c r="D628" s="328" t="str">
        <f t="shared" si="13"/>
        <v>NACE H - 49.11 Passenger heavy rail transport</v>
      </c>
      <c r="K628" t="s">
        <v>5275</v>
      </c>
    </row>
    <row r="629" spans="1:11" x14ac:dyDescent="0.35">
      <c r="A629" s="328" t="s">
        <v>1808</v>
      </c>
      <c r="B629" t="s">
        <v>1809</v>
      </c>
      <c r="C629" s="328"/>
      <c r="D629" s="328" t="str">
        <f t="shared" si="13"/>
        <v>NACE H - 49.12 Other passenger rail transport</v>
      </c>
      <c r="K629" t="s">
        <v>5276</v>
      </c>
    </row>
    <row r="630" spans="1:11" x14ac:dyDescent="0.35">
      <c r="A630" s="327" t="s">
        <v>1810</v>
      </c>
      <c r="B630" t="s">
        <v>1811</v>
      </c>
      <c r="C630" s="328"/>
      <c r="D630" s="327" t="str">
        <f t="shared" si="13"/>
        <v>NACE H - 49.2 Freight rail transport</v>
      </c>
      <c r="K630" t="s">
        <v>5277</v>
      </c>
    </row>
    <row r="631" spans="1:11" x14ac:dyDescent="0.35">
      <c r="A631" s="328" t="s">
        <v>1812</v>
      </c>
      <c r="B631" t="s">
        <v>1813</v>
      </c>
      <c r="C631" s="328"/>
      <c r="D631" s="328" t="str">
        <f t="shared" si="13"/>
        <v>NACE H - 49.20 Freight rail transport</v>
      </c>
      <c r="K631" t="s">
        <v>5278</v>
      </c>
    </row>
    <row r="632" spans="1:11" x14ac:dyDescent="0.35">
      <c r="A632" s="327" t="s">
        <v>1814</v>
      </c>
      <c r="B632" t="s">
        <v>1815</v>
      </c>
      <c r="C632" s="328"/>
      <c r="D632" s="327" t="str">
        <f t="shared" si="13"/>
        <v>NACE H - 49.3 Other passenger land transport</v>
      </c>
      <c r="K632" t="s">
        <v>5279</v>
      </c>
    </row>
    <row r="633" spans="1:11" x14ac:dyDescent="0.35">
      <c r="A633" s="328" t="s">
        <v>1816</v>
      </c>
      <c r="B633" t="s">
        <v>1817</v>
      </c>
      <c r="C633" s="328"/>
      <c r="D633" s="328" t="str">
        <f t="shared" si="13"/>
        <v>NACE H - 49.31 Scheduled passenger transport by road</v>
      </c>
      <c r="K633" t="s">
        <v>5280</v>
      </c>
    </row>
    <row r="634" spans="1:11" x14ac:dyDescent="0.35">
      <c r="A634" s="328" t="s">
        <v>1818</v>
      </c>
      <c r="B634" t="s">
        <v>1819</v>
      </c>
      <c r="C634" s="328"/>
      <c r="D634" s="328" t="str">
        <f t="shared" si="13"/>
        <v>NACE H - 49.32 Non-scheduled passenger transport by road</v>
      </c>
      <c r="K634" t="s">
        <v>5281</v>
      </c>
    </row>
    <row r="635" spans="1:11" x14ac:dyDescent="0.35">
      <c r="A635" s="328" t="s">
        <v>1820</v>
      </c>
      <c r="B635" t="s">
        <v>1821</v>
      </c>
      <c r="C635" s="328"/>
      <c r="D635" s="328" t="str">
        <f t="shared" si="13"/>
        <v>NACE H - 49.33 On-demand passenger transport service activities by vehicle with driver</v>
      </c>
      <c r="K635" t="s">
        <v>5282</v>
      </c>
    </row>
    <row r="636" spans="1:11" x14ac:dyDescent="0.35">
      <c r="A636" s="328" t="s">
        <v>1822</v>
      </c>
      <c r="B636" t="s">
        <v>1823</v>
      </c>
      <c r="C636" s="328"/>
      <c r="D636" s="328" t="str">
        <f t="shared" si="13"/>
        <v>NACE H - 49.34 Passenger transport by cableways and ski lifts</v>
      </c>
      <c r="K636" t="s">
        <v>5283</v>
      </c>
    </row>
    <row r="637" spans="1:11" x14ac:dyDescent="0.35">
      <c r="A637" s="328" t="s">
        <v>1824</v>
      </c>
      <c r="B637" t="s">
        <v>1825</v>
      </c>
      <c r="C637" s="328"/>
      <c r="D637" s="328" t="str">
        <f t="shared" si="13"/>
        <v>NACE H - 49.39 Other passenger land transport n.e.c.</v>
      </c>
      <c r="K637" t="s">
        <v>5284</v>
      </c>
    </row>
    <row r="638" spans="1:11" x14ac:dyDescent="0.35">
      <c r="A638" s="327" t="s">
        <v>1826</v>
      </c>
      <c r="B638" t="s">
        <v>1827</v>
      </c>
      <c r="C638" s="328"/>
      <c r="D638" s="327" t="str">
        <f t="shared" si="13"/>
        <v>NACE H - 49.4 Freight transport by road and removal services</v>
      </c>
      <c r="K638" t="s">
        <v>5285</v>
      </c>
    </row>
    <row r="639" spans="1:11" x14ac:dyDescent="0.35">
      <c r="A639" s="328" t="s">
        <v>1828</v>
      </c>
      <c r="B639" t="s">
        <v>1829</v>
      </c>
      <c r="C639" s="328"/>
      <c r="D639" s="328" t="str">
        <f t="shared" si="13"/>
        <v>NACE H - 49.41 Freight transport by road</v>
      </c>
      <c r="K639" t="s">
        <v>5286</v>
      </c>
    </row>
    <row r="640" spans="1:11" x14ac:dyDescent="0.35">
      <c r="A640" s="328" t="s">
        <v>1830</v>
      </c>
      <c r="B640" t="s">
        <v>1831</v>
      </c>
      <c r="C640" s="328"/>
      <c r="D640" s="328" t="str">
        <f t="shared" si="13"/>
        <v>NACE H - 49.42 Removal services</v>
      </c>
      <c r="K640" t="s">
        <v>5287</v>
      </c>
    </row>
    <row r="641" spans="1:11" x14ac:dyDescent="0.35">
      <c r="A641" s="327" t="s">
        <v>1832</v>
      </c>
      <c r="B641" t="s">
        <v>1833</v>
      </c>
      <c r="C641" s="328"/>
      <c r="D641" s="327" t="str">
        <f t="shared" si="13"/>
        <v>NACE H - 49.5 Transport via pipeline</v>
      </c>
      <c r="K641" t="s">
        <v>5288</v>
      </c>
    </row>
    <row r="642" spans="1:11" x14ac:dyDescent="0.35">
      <c r="A642" s="328" t="s">
        <v>1834</v>
      </c>
      <c r="B642" t="s">
        <v>1835</v>
      </c>
      <c r="C642" s="328"/>
      <c r="D642" s="328" t="str">
        <f t="shared" ref="D642:D705" si="14">_xlfn.CONCAT("NACE ", A642)</f>
        <v>NACE H - 49.50 Transport via pipeline</v>
      </c>
      <c r="K642" t="s">
        <v>5289</v>
      </c>
    </row>
    <row r="643" spans="1:11" x14ac:dyDescent="0.35">
      <c r="A643" s="324" t="s">
        <v>1836</v>
      </c>
      <c r="B643" t="s">
        <v>1837</v>
      </c>
      <c r="C643" s="328"/>
      <c r="D643" s="324" t="str">
        <f t="shared" si="14"/>
        <v>NACE H - 50 Water transport</v>
      </c>
      <c r="K643" t="s">
        <v>5290</v>
      </c>
    </row>
    <row r="644" spans="1:11" x14ac:dyDescent="0.35">
      <c r="A644" s="327" t="s">
        <v>1838</v>
      </c>
      <c r="B644" t="s">
        <v>1839</v>
      </c>
      <c r="C644" s="328"/>
      <c r="D644" s="327" t="str">
        <f t="shared" si="14"/>
        <v>NACE H - 50.1 Sea and coastal passenger water transport</v>
      </c>
      <c r="K644" t="s">
        <v>5291</v>
      </c>
    </row>
    <row r="645" spans="1:11" x14ac:dyDescent="0.35">
      <c r="A645" s="328" t="s">
        <v>1840</v>
      </c>
      <c r="B645" t="s">
        <v>1841</v>
      </c>
      <c r="C645" s="328"/>
      <c r="D645" s="328" t="str">
        <f t="shared" si="14"/>
        <v>NACE H - 50.10 Sea and coastal passenger water transport</v>
      </c>
      <c r="K645" t="s">
        <v>5292</v>
      </c>
    </row>
    <row r="646" spans="1:11" x14ac:dyDescent="0.35">
      <c r="A646" s="327" t="s">
        <v>1842</v>
      </c>
      <c r="B646" t="s">
        <v>1843</v>
      </c>
      <c r="C646" s="328"/>
      <c r="D646" s="327" t="str">
        <f t="shared" si="14"/>
        <v>NACE H - 50.2 Sea and coastal freight water transport</v>
      </c>
      <c r="K646" t="s">
        <v>4654</v>
      </c>
    </row>
    <row r="647" spans="1:11" x14ac:dyDescent="0.35">
      <c r="A647" s="328" t="s">
        <v>1844</v>
      </c>
      <c r="B647" t="s">
        <v>1845</v>
      </c>
      <c r="C647" s="328"/>
      <c r="D647" s="328" t="str">
        <f t="shared" si="14"/>
        <v>NACE H - 50.20 Sea and coastal freight water transport</v>
      </c>
      <c r="K647" t="s">
        <v>5293</v>
      </c>
    </row>
    <row r="648" spans="1:11" x14ac:dyDescent="0.35">
      <c r="A648" s="327" t="s">
        <v>1846</v>
      </c>
      <c r="B648" t="s">
        <v>1847</v>
      </c>
      <c r="C648" s="328"/>
      <c r="D648" s="327" t="str">
        <f t="shared" si="14"/>
        <v>NACE H - 50.3 Inland passenger water transport</v>
      </c>
      <c r="K648" t="s">
        <v>5294</v>
      </c>
    </row>
    <row r="649" spans="1:11" x14ac:dyDescent="0.35">
      <c r="A649" s="328" t="s">
        <v>1848</v>
      </c>
      <c r="B649" t="s">
        <v>1849</v>
      </c>
      <c r="C649" s="328"/>
      <c r="D649" s="328" t="str">
        <f t="shared" si="14"/>
        <v>NACE H - 50.30 Inland passenger water transport</v>
      </c>
      <c r="K649" t="s">
        <v>5295</v>
      </c>
    </row>
    <row r="650" spans="1:11" x14ac:dyDescent="0.35">
      <c r="A650" s="327" t="s">
        <v>1850</v>
      </c>
      <c r="B650" t="s">
        <v>1851</v>
      </c>
      <c r="C650" s="328"/>
      <c r="D650" s="327" t="str">
        <f t="shared" si="14"/>
        <v>NACE H - 50.4 Inland freight water transport</v>
      </c>
      <c r="K650" t="s">
        <v>5296</v>
      </c>
    </row>
    <row r="651" spans="1:11" x14ac:dyDescent="0.35">
      <c r="A651" s="328" t="s">
        <v>1852</v>
      </c>
      <c r="B651" t="s">
        <v>1853</v>
      </c>
      <c r="C651" s="328"/>
      <c r="D651" s="328" t="str">
        <f t="shared" si="14"/>
        <v>NACE H - 50.40 Inland freight water transport</v>
      </c>
      <c r="K651" t="s">
        <v>5297</v>
      </c>
    </row>
    <row r="652" spans="1:11" x14ac:dyDescent="0.35">
      <c r="A652" s="324" t="s">
        <v>1854</v>
      </c>
      <c r="B652" t="s">
        <v>1855</v>
      </c>
      <c r="C652" s="328"/>
      <c r="D652" s="324" t="str">
        <f t="shared" si="14"/>
        <v>NACE H - 51 Air transport</v>
      </c>
      <c r="K652" t="s">
        <v>5298</v>
      </c>
    </row>
    <row r="653" spans="1:11" x14ac:dyDescent="0.35">
      <c r="A653" s="327" t="s">
        <v>1856</v>
      </c>
      <c r="B653" t="s">
        <v>1857</v>
      </c>
      <c r="C653" s="328"/>
      <c r="D653" s="327" t="str">
        <f t="shared" si="14"/>
        <v>NACE H - 51.1 Passenger air transport</v>
      </c>
      <c r="K653" t="s">
        <v>4655</v>
      </c>
    </row>
    <row r="654" spans="1:11" x14ac:dyDescent="0.35">
      <c r="A654" s="328" t="s">
        <v>1858</v>
      </c>
      <c r="B654" t="s">
        <v>1859</v>
      </c>
      <c r="C654" s="328"/>
      <c r="D654" s="328" t="str">
        <f t="shared" si="14"/>
        <v>NACE H - 51.10 Passenger air transport</v>
      </c>
      <c r="K654" t="s">
        <v>5299</v>
      </c>
    </row>
    <row r="655" spans="1:11" x14ac:dyDescent="0.35">
      <c r="A655" s="327" t="s">
        <v>1860</v>
      </c>
      <c r="B655" t="s">
        <v>1861</v>
      </c>
      <c r="C655" s="328"/>
      <c r="D655" s="327" t="str">
        <f t="shared" si="14"/>
        <v>NACE H - 51.2 Freight air transport and space transport</v>
      </c>
      <c r="K655" t="s">
        <v>5300</v>
      </c>
    </row>
    <row r="656" spans="1:11" x14ac:dyDescent="0.35">
      <c r="A656" s="328" t="s">
        <v>1862</v>
      </c>
      <c r="B656" t="s">
        <v>1863</v>
      </c>
      <c r="C656" s="328"/>
      <c r="D656" s="328" t="str">
        <f t="shared" si="14"/>
        <v>NACE H - 51.21 Freight air transport</v>
      </c>
      <c r="K656" t="s">
        <v>5301</v>
      </c>
    </row>
    <row r="657" spans="1:11" x14ac:dyDescent="0.35">
      <c r="A657" s="328" t="s">
        <v>1864</v>
      </c>
      <c r="B657" t="s">
        <v>1865</v>
      </c>
      <c r="C657" s="328"/>
      <c r="D657" s="328" t="str">
        <f t="shared" si="14"/>
        <v>NACE H - 51.22 Space transport</v>
      </c>
      <c r="K657" t="s">
        <v>5302</v>
      </c>
    </row>
    <row r="658" spans="1:11" x14ac:dyDescent="0.35">
      <c r="A658" s="324" t="s">
        <v>1866</v>
      </c>
      <c r="B658" t="s">
        <v>1867</v>
      </c>
      <c r="C658" s="328"/>
      <c r="D658" s="324" t="str">
        <f t="shared" si="14"/>
        <v>NACE H - 52 Warehousing, storage and support activities for transportation</v>
      </c>
      <c r="K658" t="s">
        <v>5303</v>
      </c>
    </row>
    <row r="659" spans="1:11" x14ac:dyDescent="0.35">
      <c r="A659" s="327" t="s">
        <v>1868</v>
      </c>
      <c r="B659" t="s">
        <v>1869</v>
      </c>
      <c r="C659" s="328"/>
      <c r="D659" s="327" t="str">
        <f t="shared" si="14"/>
        <v>NACE H - 52.1 Warehousing and storage</v>
      </c>
      <c r="K659" t="s">
        <v>5304</v>
      </c>
    </row>
    <row r="660" spans="1:11" x14ac:dyDescent="0.35">
      <c r="A660" s="328" t="s">
        <v>1870</v>
      </c>
      <c r="B660" t="s">
        <v>1871</v>
      </c>
      <c r="C660" s="328"/>
      <c r="D660" s="328" t="str">
        <f t="shared" si="14"/>
        <v>NACE H - 52.10 Warehousing and storage</v>
      </c>
      <c r="K660" t="s">
        <v>5305</v>
      </c>
    </row>
    <row r="661" spans="1:11" x14ac:dyDescent="0.35">
      <c r="A661" s="327" t="s">
        <v>1872</v>
      </c>
      <c r="B661" t="s">
        <v>1873</v>
      </c>
      <c r="C661" s="328"/>
      <c r="D661" s="327" t="str">
        <f t="shared" si="14"/>
        <v>NACE H - 52.2 Support activities for transportation</v>
      </c>
      <c r="K661" t="s">
        <v>5306</v>
      </c>
    </row>
    <row r="662" spans="1:11" x14ac:dyDescent="0.35">
      <c r="A662" s="328" t="s">
        <v>1874</v>
      </c>
      <c r="B662" t="s">
        <v>1875</v>
      </c>
      <c r="C662" s="328"/>
      <c r="D662" s="328" t="str">
        <f t="shared" si="14"/>
        <v>NACE H - 52.21 Service activities incidental to land transportation</v>
      </c>
      <c r="K662" t="s">
        <v>5307</v>
      </c>
    </row>
    <row r="663" spans="1:11" x14ac:dyDescent="0.35">
      <c r="A663" s="328" t="s">
        <v>1876</v>
      </c>
      <c r="B663" t="s">
        <v>1877</v>
      </c>
      <c r="C663" s="328"/>
      <c r="D663" s="328" t="str">
        <f t="shared" si="14"/>
        <v>NACE H - 52.22 Service activities incidental to water transportation</v>
      </c>
      <c r="K663" t="s">
        <v>5308</v>
      </c>
    </row>
    <row r="664" spans="1:11" x14ac:dyDescent="0.35">
      <c r="A664" s="328" t="s">
        <v>1878</v>
      </c>
      <c r="B664" t="s">
        <v>1879</v>
      </c>
      <c r="C664" s="328"/>
      <c r="D664" s="328" t="str">
        <f t="shared" si="14"/>
        <v>NACE H - 52.23 Service activities incidental to air transportation</v>
      </c>
      <c r="K664" t="s">
        <v>5309</v>
      </c>
    </row>
    <row r="665" spans="1:11" x14ac:dyDescent="0.35">
      <c r="A665" s="328" t="s">
        <v>1880</v>
      </c>
      <c r="B665" t="s">
        <v>1881</v>
      </c>
      <c r="C665" s="328"/>
      <c r="D665" s="328" t="str">
        <f t="shared" si="14"/>
        <v>NACE H - 52.24 Cargo handling</v>
      </c>
      <c r="K665" t="s">
        <v>5310</v>
      </c>
    </row>
    <row r="666" spans="1:11" x14ac:dyDescent="0.35">
      <c r="A666" s="328" t="s">
        <v>1882</v>
      </c>
      <c r="B666" t="s">
        <v>1883</v>
      </c>
      <c r="C666" s="328"/>
      <c r="D666" s="328" t="str">
        <f t="shared" si="14"/>
        <v>NACE H - 52.25 Logistics service activities</v>
      </c>
      <c r="K666" t="s">
        <v>5311</v>
      </c>
    </row>
    <row r="667" spans="1:11" x14ac:dyDescent="0.35">
      <c r="A667" s="328" t="s">
        <v>1884</v>
      </c>
      <c r="B667" t="s">
        <v>1885</v>
      </c>
      <c r="C667" s="328"/>
      <c r="D667" s="328" t="str">
        <f t="shared" si="14"/>
        <v>NACE H - 52.26 Other support activities for transportation</v>
      </c>
      <c r="K667" t="s">
        <v>5312</v>
      </c>
    </row>
    <row r="668" spans="1:11" x14ac:dyDescent="0.35">
      <c r="A668" s="327" t="s">
        <v>1886</v>
      </c>
      <c r="B668" t="s">
        <v>1887</v>
      </c>
      <c r="C668" s="328"/>
      <c r="D668" s="327" t="str">
        <f t="shared" si="14"/>
        <v>NACE H - 52.3 Intermediation service activities for transportation</v>
      </c>
      <c r="K668" t="s">
        <v>4656</v>
      </c>
    </row>
    <row r="669" spans="1:11" x14ac:dyDescent="0.35">
      <c r="A669" s="328" t="s">
        <v>1888</v>
      </c>
      <c r="B669" t="s">
        <v>1889</v>
      </c>
      <c r="C669" s="328"/>
      <c r="D669" s="328" t="str">
        <f t="shared" si="14"/>
        <v>NACE H - 52.31 Intermediation service activities for freight transportation</v>
      </c>
      <c r="K669" t="s">
        <v>5313</v>
      </c>
    </row>
    <row r="670" spans="1:11" x14ac:dyDescent="0.35">
      <c r="A670" s="328" t="s">
        <v>1890</v>
      </c>
      <c r="B670" t="s">
        <v>1891</v>
      </c>
      <c r="C670" s="328"/>
      <c r="D670" s="328" t="str">
        <f t="shared" si="14"/>
        <v>NACE H - 52.32 Intermediation service activities for passenger transportation</v>
      </c>
      <c r="K670" t="s">
        <v>5314</v>
      </c>
    </row>
    <row r="671" spans="1:11" x14ac:dyDescent="0.35">
      <c r="A671" s="324" t="s">
        <v>1892</v>
      </c>
      <c r="B671" t="s">
        <v>1893</v>
      </c>
      <c r="C671" s="328"/>
      <c r="D671" s="324" t="str">
        <f t="shared" si="14"/>
        <v>NACE H - 53 Postal and courier activities</v>
      </c>
      <c r="K671" t="s">
        <v>5315</v>
      </c>
    </row>
    <row r="672" spans="1:11" x14ac:dyDescent="0.35">
      <c r="A672" s="327" t="s">
        <v>1894</v>
      </c>
      <c r="B672" t="s">
        <v>1895</v>
      </c>
      <c r="C672" s="328"/>
      <c r="D672" s="327" t="str">
        <f t="shared" si="14"/>
        <v>NACE H - 53.1 Postal activities under universal service obligation</v>
      </c>
      <c r="K672" t="s">
        <v>5316</v>
      </c>
    </row>
    <row r="673" spans="1:11" x14ac:dyDescent="0.35">
      <c r="A673" s="328" t="s">
        <v>1896</v>
      </c>
      <c r="B673" t="s">
        <v>1897</v>
      </c>
      <c r="C673" s="328"/>
      <c r="D673" s="328" t="str">
        <f t="shared" si="14"/>
        <v>NACE H - 53.10 Postal activities under universal service obligation</v>
      </c>
      <c r="K673" t="s">
        <v>5317</v>
      </c>
    </row>
    <row r="674" spans="1:11" x14ac:dyDescent="0.35">
      <c r="A674" s="327" t="s">
        <v>1898</v>
      </c>
      <c r="B674" t="s">
        <v>1899</v>
      </c>
      <c r="C674" s="328"/>
      <c r="D674" s="327" t="str">
        <f t="shared" si="14"/>
        <v>NACE H - 53.2 Other postal and courier activities</v>
      </c>
      <c r="K674" t="s">
        <v>5318</v>
      </c>
    </row>
    <row r="675" spans="1:11" x14ac:dyDescent="0.35">
      <c r="A675" s="328" t="s">
        <v>1900</v>
      </c>
      <c r="B675" t="s">
        <v>1901</v>
      </c>
      <c r="C675" s="328"/>
      <c r="D675" s="328" t="str">
        <f t="shared" si="14"/>
        <v>NACE H - 53.20 Other postal and courier activities</v>
      </c>
      <c r="K675" t="s">
        <v>5319</v>
      </c>
    </row>
    <row r="676" spans="1:11" x14ac:dyDescent="0.35">
      <c r="A676" s="327" t="s">
        <v>1902</v>
      </c>
      <c r="B676" t="s">
        <v>1903</v>
      </c>
      <c r="C676" s="328"/>
      <c r="D676" s="327" t="str">
        <f t="shared" si="14"/>
        <v>NACE H - 53.3 Intermediation service activities for postal and courier activities</v>
      </c>
      <c r="K676" t="s">
        <v>5320</v>
      </c>
    </row>
    <row r="677" spans="1:11" x14ac:dyDescent="0.35">
      <c r="A677" s="328" t="s">
        <v>1904</v>
      </c>
      <c r="B677" t="s">
        <v>1905</v>
      </c>
      <c r="C677" s="328"/>
      <c r="D677" s="328" t="str">
        <f t="shared" si="14"/>
        <v>NACE H - 53.30 Intermediation service activities for postal and courier activities</v>
      </c>
      <c r="K677" t="s">
        <v>5321</v>
      </c>
    </row>
    <row r="678" spans="1:11" x14ac:dyDescent="0.35">
      <c r="A678" s="325" t="s">
        <v>1906</v>
      </c>
      <c r="B678" t="s">
        <v>1907</v>
      </c>
      <c r="C678" s="328"/>
      <c r="D678" s="325" t="str">
        <f t="shared" si="14"/>
        <v>NACE I - ACCOMMODATION AND FOOD SERVICE ACTIVITIES</v>
      </c>
      <c r="K678" t="s">
        <v>5322</v>
      </c>
    </row>
    <row r="679" spans="1:11" x14ac:dyDescent="0.35">
      <c r="A679" s="324" t="s">
        <v>1908</v>
      </c>
      <c r="B679" t="s">
        <v>1909</v>
      </c>
      <c r="C679" s="328"/>
      <c r="D679" s="324" t="str">
        <f t="shared" si="14"/>
        <v>NACE I - 55 Accommodation</v>
      </c>
      <c r="K679" t="s">
        <v>5323</v>
      </c>
    </row>
    <row r="680" spans="1:11" x14ac:dyDescent="0.35">
      <c r="A680" s="327" t="s">
        <v>1910</v>
      </c>
      <c r="B680" t="s">
        <v>1911</v>
      </c>
      <c r="C680" s="328"/>
      <c r="D680" s="327" t="str">
        <f t="shared" si="14"/>
        <v>NACE I - 55.1 Hotels and similar accommodation</v>
      </c>
      <c r="K680" t="s">
        <v>5324</v>
      </c>
    </row>
    <row r="681" spans="1:11" x14ac:dyDescent="0.35">
      <c r="A681" s="328" t="s">
        <v>1912</v>
      </c>
      <c r="B681" t="s">
        <v>1913</v>
      </c>
      <c r="C681" s="328"/>
      <c r="D681" s="328" t="str">
        <f t="shared" si="14"/>
        <v>NACE I - 55.10 Hotels and similar accommodation</v>
      </c>
      <c r="K681" t="s">
        <v>5325</v>
      </c>
    </row>
    <row r="682" spans="1:11" x14ac:dyDescent="0.35">
      <c r="A682" s="327" t="s">
        <v>1914</v>
      </c>
      <c r="B682" t="s">
        <v>1915</v>
      </c>
      <c r="C682" s="328"/>
      <c r="D682" s="327" t="str">
        <f t="shared" si="14"/>
        <v>NACE I - 55.2 Holiday and other short-stay accommodation</v>
      </c>
      <c r="K682" t="s">
        <v>5326</v>
      </c>
    </row>
    <row r="683" spans="1:11" x14ac:dyDescent="0.35">
      <c r="A683" s="328" t="s">
        <v>1916</v>
      </c>
      <c r="B683" t="s">
        <v>1917</v>
      </c>
      <c r="C683" s="328"/>
      <c r="D683" s="328" t="str">
        <f t="shared" si="14"/>
        <v>NACE I - 55.20 Holiday and other short-stay accommodation</v>
      </c>
      <c r="K683" t="s">
        <v>5327</v>
      </c>
    </row>
    <row r="684" spans="1:11" x14ac:dyDescent="0.35">
      <c r="A684" s="327" t="s">
        <v>1918</v>
      </c>
      <c r="B684" t="s">
        <v>1919</v>
      </c>
      <c r="C684" s="328"/>
      <c r="D684" s="327" t="str">
        <f t="shared" si="14"/>
        <v>NACE I - 55.3 Camping grounds and recreational vehicle parks</v>
      </c>
      <c r="K684" t="s">
        <v>5328</v>
      </c>
    </row>
    <row r="685" spans="1:11" x14ac:dyDescent="0.35">
      <c r="A685" s="328" t="s">
        <v>1920</v>
      </c>
      <c r="B685" t="s">
        <v>1921</v>
      </c>
      <c r="C685" s="328"/>
      <c r="D685" s="328" t="str">
        <f t="shared" si="14"/>
        <v>NACE I - 55.30 Camping grounds and recreational vehicle parks</v>
      </c>
      <c r="K685" t="s">
        <v>5329</v>
      </c>
    </row>
    <row r="686" spans="1:11" x14ac:dyDescent="0.35">
      <c r="A686" s="327" t="s">
        <v>1922</v>
      </c>
      <c r="B686" t="s">
        <v>1923</v>
      </c>
      <c r="C686" s="328"/>
      <c r="D686" s="327" t="str">
        <f t="shared" si="14"/>
        <v>NACE I - 55.4 Intermediation service activities for accommodation</v>
      </c>
      <c r="K686" t="s">
        <v>5330</v>
      </c>
    </row>
    <row r="687" spans="1:11" x14ac:dyDescent="0.35">
      <c r="A687" s="328" t="s">
        <v>1924</v>
      </c>
      <c r="B687" t="s">
        <v>1925</v>
      </c>
      <c r="C687" s="328"/>
      <c r="D687" s="328" t="str">
        <f t="shared" si="14"/>
        <v>NACE I - 55.40 Intermediation service activities for accommodation</v>
      </c>
      <c r="K687" t="s">
        <v>5331</v>
      </c>
    </row>
    <row r="688" spans="1:11" x14ac:dyDescent="0.35">
      <c r="A688" s="327" t="s">
        <v>1926</v>
      </c>
      <c r="B688" t="s">
        <v>1927</v>
      </c>
      <c r="C688" s="328"/>
      <c r="D688" s="327" t="str">
        <f t="shared" si="14"/>
        <v>NACE I - 55.9 Other accommodation</v>
      </c>
      <c r="K688" t="s">
        <v>5332</v>
      </c>
    </row>
    <row r="689" spans="1:11" x14ac:dyDescent="0.35">
      <c r="A689" s="328" t="s">
        <v>1928</v>
      </c>
      <c r="B689" t="s">
        <v>1929</v>
      </c>
      <c r="C689" s="328"/>
      <c r="D689" s="328" t="str">
        <f t="shared" si="14"/>
        <v>NACE I - 55.90 Other accommodation</v>
      </c>
      <c r="K689" t="s">
        <v>5333</v>
      </c>
    </row>
    <row r="690" spans="1:11" x14ac:dyDescent="0.35">
      <c r="A690" s="324" t="s">
        <v>1930</v>
      </c>
      <c r="B690" t="s">
        <v>1931</v>
      </c>
      <c r="C690" s="328"/>
      <c r="D690" s="324" t="str">
        <f t="shared" si="14"/>
        <v>NACE I - 56 Food and beverage service activities</v>
      </c>
      <c r="K690" t="s">
        <v>5334</v>
      </c>
    </row>
    <row r="691" spans="1:11" x14ac:dyDescent="0.35">
      <c r="A691" s="327" t="s">
        <v>1932</v>
      </c>
      <c r="B691" t="s">
        <v>1933</v>
      </c>
      <c r="C691" s="328"/>
      <c r="D691" s="327" t="str">
        <f t="shared" si="14"/>
        <v>NACE I - 56.1 Restaurants and mobile food service activities</v>
      </c>
      <c r="K691" t="s">
        <v>5335</v>
      </c>
    </row>
    <row r="692" spans="1:11" x14ac:dyDescent="0.35">
      <c r="A692" s="328" t="s">
        <v>1934</v>
      </c>
      <c r="B692" t="s">
        <v>1935</v>
      </c>
      <c r="C692" s="328"/>
      <c r="D692" s="328" t="str">
        <f t="shared" si="14"/>
        <v>NACE I - 56.11 Restaurant activities</v>
      </c>
      <c r="K692" t="s">
        <v>5336</v>
      </c>
    </row>
    <row r="693" spans="1:11" x14ac:dyDescent="0.35">
      <c r="A693" s="328" t="s">
        <v>1936</v>
      </c>
      <c r="B693" t="s">
        <v>1937</v>
      </c>
      <c r="C693" s="328"/>
      <c r="D693" s="328" t="str">
        <f t="shared" si="14"/>
        <v>NACE I - 56.12 Mobile food service activities</v>
      </c>
      <c r="K693" t="s">
        <v>5337</v>
      </c>
    </row>
    <row r="694" spans="1:11" x14ac:dyDescent="0.35">
      <c r="A694" s="327" t="s">
        <v>1938</v>
      </c>
      <c r="B694" t="s">
        <v>1939</v>
      </c>
      <c r="C694" s="328"/>
      <c r="D694" s="327" t="str">
        <f t="shared" si="14"/>
        <v>NACE I - 56.2 Event catering, contract catering service activities and other food service activities</v>
      </c>
      <c r="K694" t="s">
        <v>5338</v>
      </c>
    </row>
    <row r="695" spans="1:11" x14ac:dyDescent="0.35">
      <c r="A695" s="328" t="s">
        <v>1940</v>
      </c>
      <c r="B695" t="s">
        <v>1941</v>
      </c>
      <c r="C695" s="328"/>
      <c r="D695" s="328" t="str">
        <f t="shared" si="14"/>
        <v>NACE I - 56.21 Event catering activities</v>
      </c>
      <c r="K695" t="s">
        <v>5339</v>
      </c>
    </row>
    <row r="696" spans="1:11" x14ac:dyDescent="0.35">
      <c r="A696" s="328" t="s">
        <v>1942</v>
      </c>
      <c r="B696" t="s">
        <v>1943</v>
      </c>
      <c r="C696" s="328"/>
      <c r="D696" s="328" t="str">
        <f t="shared" si="14"/>
        <v>NACE I - 56.22 Contract catering service activities and other food service activities</v>
      </c>
      <c r="K696" t="s">
        <v>5340</v>
      </c>
    </row>
    <row r="697" spans="1:11" x14ac:dyDescent="0.35">
      <c r="A697" s="327" t="s">
        <v>1944</v>
      </c>
      <c r="B697" t="s">
        <v>1945</v>
      </c>
      <c r="C697" s="328"/>
      <c r="D697" s="327" t="str">
        <f t="shared" si="14"/>
        <v>NACE I - 56.3 Beverage serving activities</v>
      </c>
      <c r="K697" t="s">
        <v>5341</v>
      </c>
    </row>
    <row r="698" spans="1:11" x14ac:dyDescent="0.35">
      <c r="A698" s="328" t="s">
        <v>1946</v>
      </c>
      <c r="B698" t="s">
        <v>1947</v>
      </c>
      <c r="C698" s="328"/>
      <c r="D698" s="328" t="str">
        <f t="shared" si="14"/>
        <v>NACE I - 56.30 Beverage serving activities</v>
      </c>
      <c r="K698" t="s">
        <v>5342</v>
      </c>
    </row>
    <row r="699" spans="1:11" x14ac:dyDescent="0.35">
      <c r="A699" s="327" t="s">
        <v>1948</v>
      </c>
      <c r="B699" t="s">
        <v>1949</v>
      </c>
      <c r="C699" s="328"/>
      <c r="D699" s="327" t="str">
        <f t="shared" si="14"/>
        <v>NACE I - 56.4 Intermediation service activities for food and beverage services activities</v>
      </c>
      <c r="K699" t="s">
        <v>5343</v>
      </c>
    </row>
    <row r="700" spans="1:11" x14ac:dyDescent="0.35">
      <c r="A700" s="328" t="s">
        <v>1950</v>
      </c>
      <c r="B700" t="s">
        <v>1951</v>
      </c>
      <c r="C700" s="328"/>
      <c r="D700" s="328" t="str">
        <f t="shared" si="14"/>
        <v>NACE I - 56.40 Intermediation service activities for food and beverage services activities</v>
      </c>
      <c r="K700" t="s">
        <v>5344</v>
      </c>
    </row>
    <row r="701" spans="1:11" x14ac:dyDescent="0.35">
      <c r="A701" s="325" t="s">
        <v>1952</v>
      </c>
      <c r="B701" t="s">
        <v>1953</v>
      </c>
      <c r="C701" s="328"/>
      <c r="D701" s="325" t="str">
        <f t="shared" si="14"/>
        <v>NACE J - PUBLISHING, BROADCASTING, AND CONTENT PRODUCTION AND DISTRIBUTION ACTIVITIES</v>
      </c>
      <c r="K701" t="s">
        <v>5345</v>
      </c>
    </row>
    <row r="702" spans="1:11" x14ac:dyDescent="0.35">
      <c r="A702" s="324" t="s">
        <v>1954</v>
      </c>
      <c r="B702" t="s">
        <v>1955</v>
      </c>
      <c r="C702" s="328"/>
      <c r="D702" s="324" t="str">
        <f t="shared" si="14"/>
        <v>NACE J - 58 Publishing activities</v>
      </c>
      <c r="K702" t="s">
        <v>5346</v>
      </c>
    </row>
    <row r="703" spans="1:11" x14ac:dyDescent="0.35">
      <c r="A703" s="327" t="s">
        <v>1956</v>
      </c>
      <c r="B703" t="s">
        <v>1957</v>
      </c>
      <c r="C703" s="328"/>
      <c r="D703" s="327" t="str">
        <f t="shared" si="14"/>
        <v>NACE J - 58.1 Publishing of books, newspapers and other publishing activities, except software publishing</v>
      </c>
      <c r="K703" t="s">
        <v>5347</v>
      </c>
    </row>
    <row r="704" spans="1:11" x14ac:dyDescent="0.35">
      <c r="A704" s="328" t="s">
        <v>1958</v>
      </c>
      <c r="B704" t="s">
        <v>1959</v>
      </c>
      <c r="C704" s="328"/>
      <c r="D704" s="328" t="str">
        <f t="shared" si="14"/>
        <v>NACE J - 58.11 Publishing of books</v>
      </c>
      <c r="K704" t="s">
        <v>5348</v>
      </c>
    </row>
    <row r="705" spans="1:11" x14ac:dyDescent="0.35">
      <c r="A705" s="328" t="s">
        <v>1960</v>
      </c>
      <c r="B705" t="s">
        <v>1961</v>
      </c>
      <c r="C705" s="328"/>
      <c r="D705" s="328" t="str">
        <f t="shared" si="14"/>
        <v>NACE J - 58.12 Publishing of newspapers</v>
      </c>
      <c r="K705" t="s">
        <v>5349</v>
      </c>
    </row>
    <row r="706" spans="1:11" x14ac:dyDescent="0.35">
      <c r="A706" s="328" t="s">
        <v>1962</v>
      </c>
      <c r="B706" t="s">
        <v>1963</v>
      </c>
      <c r="C706" s="328"/>
      <c r="D706" s="328" t="str">
        <f t="shared" ref="D706:D769" si="15">_xlfn.CONCAT("NACE ", A706)</f>
        <v>NACE J - 58.13 Publishing of journals and periodicals</v>
      </c>
      <c r="K706" t="s">
        <v>5350</v>
      </c>
    </row>
    <row r="707" spans="1:11" x14ac:dyDescent="0.35">
      <c r="A707" s="328" t="s">
        <v>1964</v>
      </c>
      <c r="B707" t="s">
        <v>1965</v>
      </c>
      <c r="C707" s="328"/>
      <c r="D707" s="328" t="str">
        <f t="shared" si="15"/>
        <v>NACE J - 58.19 Other publishing activities, except software publishing</v>
      </c>
      <c r="K707" t="s">
        <v>5351</v>
      </c>
    </row>
    <row r="708" spans="1:11" x14ac:dyDescent="0.35">
      <c r="A708" s="327" t="s">
        <v>1966</v>
      </c>
      <c r="B708" t="s">
        <v>1967</v>
      </c>
      <c r="C708" s="328"/>
      <c r="D708" s="327" t="str">
        <f t="shared" si="15"/>
        <v>NACE J - 58.2 Software publishing</v>
      </c>
      <c r="K708" t="s">
        <v>5352</v>
      </c>
    </row>
    <row r="709" spans="1:11" x14ac:dyDescent="0.35">
      <c r="A709" s="328" t="s">
        <v>1968</v>
      </c>
      <c r="B709" t="s">
        <v>1969</v>
      </c>
      <c r="C709" s="328"/>
      <c r="D709" s="328" t="str">
        <f t="shared" si="15"/>
        <v>NACE J - 58.21 Publishing of video games</v>
      </c>
      <c r="K709" t="s">
        <v>5353</v>
      </c>
    </row>
    <row r="710" spans="1:11" x14ac:dyDescent="0.35">
      <c r="A710" s="328" t="s">
        <v>1970</v>
      </c>
      <c r="B710" t="s">
        <v>1971</v>
      </c>
      <c r="C710" s="328"/>
      <c r="D710" s="328" t="str">
        <f t="shared" si="15"/>
        <v>NACE J - 58.29 Other software publishing</v>
      </c>
      <c r="K710" t="s">
        <v>5354</v>
      </c>
    </row>
    <row r="711" spans="1:11" x14ac:dyDescent="0.35">
      <c r="A711" s="324" t="s">
        <v>1972</v>
      </c>
      <c r="B711" t="s">
        <v>1973</v>
      </c>
      <c r="C711" s="328"/>
      <c r="D711" s="324" t="str">
        <f t="shared" si="15"/>
        <v>NACE J - 59 Motion picture, video and television programme production, sound recording and music publishing activities</v>
      </c>
      <c r="K711" t="s">
        <v>5355</v>
      </c>
    </row>
    <row r="712" spans="1:11" x14ac:dyDescent="0.35">
      <c r="A712" s="327" t="s">
        <v>1974</v>
      </c>
      <c r="B712" t="s">
        <v>1975</v>
      </c>
      <c r="C712" s="328"/>
      <c r="D712" s="327" t="str">
        <f t="shared" si="15"/>
        <v>NACE J - 59.1 Motion picture, video and television programme activities</v>
      </c>
      <c r="K712" t="s">
        <v>5356</v>
      </c>
    </row>
    <row r="713" spans="1:11" x14ac:dyDescent="0.35">
      <c r="A713" s="328" t="s">
        <v>1976</v>
      </c>
      <c r="B713" t="s">
        <v>1977</v>
      </c>
      <c r="C713" s="328"/>
      <c r="D713" s="328" t="str">
        <f t="shared" si="15"/>
        <v>NACE J - 59.11 Motion picture, video and television programme production activities</v>
      </c>
      <c r="K713" t="s">
        <v>5357</v>
      </c>
    </row>
    <row r="714" spans="1:11" x14ac:dyDescent="0.35">
      <c r="A714" s="328" t="s">
        <v>1978</v>
      </c>
      <c r="B714" t="s">
        <v>1979</v>
      </c>
      <c r="C714" s="328"/>
      <c r="D714" s="328" t="str">
        <f t="shared" si="15"/>
        <v>NACE J - 59.12 Motion picture, video and television programme post-production activities</v>
      </c>
      <c r="K714" t="s">
        <v>5358</v>
      </c>
    </row>
    <row r="715" spans="1:11" x14ac:dyDescent="0.35">
      <c r="A715" s="328" t="s">
        <v>1980</v>
      </c>
      <c r="B715" t="s">
        <v>1981</v>
      </c>
      <c r="C715" s="328"/>
      <c r="D715" s="328" t="str">
        <f t="shared" si="15"/>
        <v>NACE J - 59.13 Motion picture and video distribution activities</v>
      </c>
      <c r="K715" t="s">
        <v>5359</v>
      </c>
    </row>
    <row r="716" spans="1:11" x14ac:dyDescent="0.35">
      <c r="A716" s="328" t="s">
        <v>1982</v>
      </c>
      <c r="B716" t="s">
        <v>1983</v>
      </c>
      <c r="C716" s="328"/>
      <c r="D716" s="328" t="str">
        <f t="shared" si="15"/>
        <v>NACE J - 59.14 Motion picture projection activities</v>
      </c>
      <c r="K716" t="s">
        <v>5360</v>
      </c>
    </row>
    <row r="717" spans="1:11" x14ac:dyDescent="0.35">
      <c r="A717" s="327" t="s">
        <v>1984</v>
      </c>
      <c r="B717" t="s">
        <v>1985</v>
      </c>
      <c r="C717" s="328"/>
      <c r="D717" s="327" t="str">
        <f t="shared" si="15"/>
        <v>NACE J - 59.2 Sound recording and music publishing activities</v>
      </c>
      <c r="K717" t="s">
        <v>5361</v>
      </c>
    </row>
    <row r="718" spans="1:11" x14ac:dyDescent="0.35">
      <c r="A718" s="328" t="s">
        <v>1986</v>
      </c>
      <c r="B718" t="s">
        <v>1987</v>
      </c>
      <c r="C718" s="328"/>
      <c r="D718" s="328" t="str">
        <f t="shared" si="15"/>
        <v>NACE J - 59.20 Sound recording and music publishing activities</v>
      </c>
      <c r="K718" t="s">
        <v>5362</v>
      </c>
    </row>
    <row r="719" spans="1:11" x14ac:dyDescent="0.35">
      <c r="A719" s="324" t="s">
        <v>1988</v>
      </c>
      <c r="B719" t="s">
        <v>1989</v>
      </c>
      <c r="C719" s="328"/>
      <c r="D719" s="324" t="str">
        <f t="shared" si="15"/>
        <v>NACE J - 60 Programming, broadcasting, news agency and other content distribution activities</v>
      </c>
      <c r="K719" t="s">
        <v>5363</v>
      </c>
    </row>
    <row r="720" spans="1:11" x14ac:dyDescent="0.35">
      <c r="A720" s="327" t="s">
        <v>1990</v>
      </c>
      <c r="B720" t="s">
        <v>1991</v>
      </c>
      <c r="C720" s="328"/>
      <c r="D720" s="327" t="str">
        <f t="shared" si="15"/>
        <v>NACE J - 60.1 Radio broadcasting and audio distribution activities</v>
      </c>
      <c r="K720" t="s">
        <v>5364</v>
      </c>
    </row>
    <row r="721" spans="1:11" x14ac:dyDescent="0.35">
      <c r="A721" s="328" t="s">
        <v>1992</v>
      </c>
      <c r="B721" t="s">
        <v>1993</v>
      </c>
      <c r="C721" s="328"/>
      <c r="D721" s="328" t="str">
        <f t="shared" si="15"/>
        <v>NACE J - 60.10 Radio broadcasting and audio distribution activities</v>
      </c>
      <c r="K721" t="s">
        <v>5365</v>
      </c>
    </row>
    <row r="722" spans="1:11" x14ac:dyDescent="0.35">
      <c r="A722" s="327" t="s">
        <v>1994</v>
      </c>
      <c r="B722" t="s">
        <v>1995</v>
      </c>
      <c r="C722" s="328"/>
      <c r="D722" s="327" t="str">
        <f t="shared" si="15"/>
        <v>NACE J - 60.2 Television programming, broadcasting and video distribution activities</v>
      </c>
      <c r="K722" t="s">
        <v>5366</v>
      </c>
    </row>
    <row r="723" spans="1:11" x14ac:dyDescent="0.35">
      <c r="A723" s="328" t="s">
        <v>1996</v>
      </c>
      <c r="B723" t="s">
        <v>1997</v>
      </c>
      <c r="C723" s="328"/>
      <c r="D723" s="328" t="str">
        <f t="shared" si="15"/>
        <v>NACE J - 60.20 Television programming, broadcasting and video distribution activities</v>
      </c>
      <c r="K723" t="s">
        <v>5367</v>
      </c>
    </row>
    <row r="724" spans="1:11" x14ac:dyDescent="0.35">
      <c r="A724" s="327" t="s">
        <v>1998</v>
      </c>
      <c r="B724" t="s">
        <v>1999</v>
      </c>
      <c r="C724" s="328"/>
      <c r="D724" s="327" t="str">
        <f t="shared" si="15"/>
        <v>NACE J - 60.3 News agency and other content distribution activities</v>
      </c>
      <c r="K724" t="s">
        <v>5368</v>
      </c>
    </row>
    <row r="725" spans="1:11" x14ac:dyDescent="0.35">
      <c r="A725" s="328" t="s">
        <v>2000</v>
      </c>
      <c r="B725" t="s">
        <v>2001</v>
      </c>
      <c r="C725" s="328"/>
      <c r="D725" s="328" t="str">
        <f t="shared" si="15"/>
        <v>NACE J - 60.31 News agency activities</v>
      </c>
      <c r="K725" t="s">
        <v>5369</v>
      </c>
    </row>
    <row r="726" spans="1:11" x14ac:dyDescent="0.35">
      <c r="A726" s="328" t="s">
        <v>2002</v>
      </c>
      <c r="B726" t="s">
        <v>2003</v>
      </c>
      <c r="C726" s="328"/>
      <c r="D726" s="328" t="str">
        <f t="shared" si="15"/>
        <v>NACE J - 60.39 Other content distribution activities</v>
      </c>
      <c r="K726" t="s">
        <v>5370</v>
      </c>
    </row>
    <row r="727" spans="1:11" x14ac:dyDescent="0.35">
      <c r="A727" s="325" t="s">
        <v>2004</v>
      </c>
      <c r="B727" t="s">
        <v>2005</v>
      </c>
      <c r="C727" s="328"/>
      <c r="D727" s="325" t="str">
        <f t="shared" si="15"/>
        <v>NACE K - TELECOMMUNICATION, COMPUTER PROGRAMMING, CONSULTING, COMPUTING INFRASTRUCTURE AND OTHER INFORMATION SERVICE ACTIVITIES</v>
      </c>
      <c r="K727" t="s">
        <v>5371</v>
      </c>
    </row>
    <row r="728" spans="1:11" x14ac:dyDescent="0.35">
      <c r="A728" s="324" t="s">
        <v>2006</v>
      </c>
      <c r="B728" t="s">
        <v>2007</v>
      </c>
      <c r="C728" s="328"/>
      <c r="D728" s="324" t="str">
        <f t="shared" si="15"/>
        <v>NACE K - 61 Telecommunication</v>
      </c>
      <c r="K728" t="s">
        <v>5372</v>
      </c>
    </row>
    <row r="729" spans="1:11" x14ac:dyDescent="0.35">
      <c r="A729" s="327" t="s">
        <v>2008</v>
      </c>
      <c r="B729" t="s">
        <v>2009</v>
      </c>
      <c r="C729" s="328"/>
      <c r="D729" s="327" t="str">
        <f t="shared" si="15"/>
        <v>NACE K - 61.1 Wired, wireless, and satellite telecommunication activities</v>
      </c>
      <c r="K729" t="s">
        <v>5373</v>
      </c>
    </row>
    <row r="730" spans="1:11" x14ac:dyDescent="0.35">
      <c r="A730" s="328" t="s">
        <v>2010</v>
      </c>
      <c r="B730" t="s">
        <v>2011</v>
      </c>
      <c r="C730" s="328"/>
      <c r="D730" s="328" t="str">
        <f t="shared" si="15"/>
        <v>NACE K - 61.10 Wired, wireless, and satellite telecommunication activities</v>
      </c>
      <c r="K730" t="s">
        <v>5374</v>
      </c>
    </row>
    <row r="731" spans="1:11" x14ac:dyDescent="0.35">
      <c r="A731" s="327" t="s">
        <v>2012</v>
      </c>
      <c r="B731" t="s">
        <v>2013</v>
      </c>
      <c r="C731" s="328"/>
      <c r="D731" s="327" t="str">
        <f t="shared" si="15"/>
        <v>NACE K - 61.2 Telecommunication reselling activities and intermediation service activities for telecommunication</v>
      </c>
      <c r="K731" t="s">
        <v>5375</v>
      </c>
    </row>
    <row r="732" spans="1:11" x14ac:dyDescent="0.35">
      <c r="A732" s="328" t="s">
        <v>2014</v>
      </c>
      <c r="B732" t="s">
        <v>2015</v>
      </c>
      <c r="C732" s="328"/>
      <c r="D732" s="328" t="str">
        <f t="shared" si="15"/>
        <v>NACE K - 61.20 Telecommunication reselling activities and intermediation service activities for telecommunication</v>
      </c>
      <c r="K732" t="s">
        <v>5376</v>
      </c>
    </row>
    <row r="733" spans="1:11" x14ac:dyDescent="0.35">
      <c r="A733" s="327" t="s">
        <v>2016</v>
      </c>
      <c r="B733" t="s">
        <v>2017</v>
      </c>
      <c r="C733" s="328"/>
      <c r="D733" s="327" t="str">
        <f t="shared" si="15"/>
        <v>NACE K - 61.9 Other telecommunication activities</v>
      </c>
      <c r="K733" t="s">
        <v>5377</v>
      </c>
    </row>
    <row r="734" spans="1:11" x14ac:dyDescent="0.35">
      <c r="A734" s="328" t="s">
        <v>2018</v>
      </c>
      <c r="B734" t="s">
        <v>2019</v>
      </c>
      <c r="C734" s="328"/>
      <c r="D734" s="328" t="str">
        <f t="shared" si="15"/>
        <v>NACE K - 61.90 Other telecommunication activities</v>
      </c>
      <c r="K734" t="s">
        <v>5378</v>
      </c>
    </row>
    <row r="735" spans="1:11" x14ac:dyDescent="0.35">
      <c r="A735" s="324" t="s">
        <v>2020</v>
      </c>
      <c r="B735" t="s">
        <v>2021</v>
      </c>
      <c r="C735" s="328"/>
      <c r="D735" s="324" t="str">
        <f t="shared" si="15"/>
        <v>NACE K - 62 Computer programming, consultancy and related activities</v>
      </c>
      <c r="K735" t="s">
        <v>5379</v>
      </c>
    </row>
    <row r="736" spans="1:11" x14ac:dyDescent="0.35">
      <c r="A736" s="327" t="s">
        <v>2022</v>
      </c>
      <c r="B736" t="s">
        <v>2023</v>
      </c>
      <c r="C736" s="328"/>
      <c r="D736" s="327" t="str">
        <f t="shared" si="15"/>
        <v>NACE K - 62.1 Computer programming activities</v>
      </c>
      <c r="K736" t="s">
        <v>5380</v>
      </c>
    </row>
    <row r="737" spans="1:11" x14ac:dyDescent="0.35">
      <c r="A737" s="328" t="s">
        <v>2024</v>
      </c>
      <c r="B737" t="s">
        <v>2025</v>
      </c>
      <c r="C737" s="328"/>
      <c r="D737" s="328" t="str">
        <f t="shared" si="15"/>
        <v>NACE K - 62.10 Computer programming activities</v>
      </c>
      <c r="K737" t="s">
        <v>5381</v>
      </c>
    </row>
    <row r="738" spans="1:11" x14ac:dyDescent="0.35">
      <c r="A738" s="327" t="s">
        <v>2026</v>
      </c>
      <c r="B738" t="s">
        <v>2027</v>
      </c>
      <c r="C738" s="328"/>
      <c r="D738" s="327" t="str">
        <f t="shared" si="15"/>
        <v>NACE K - 62.2 Computer consultancy and computer facilities management activities</v>
      </c>
      <c r="K738" t="s">
        <v>5382</v>
      </c>
    </row>
    <row r="739" spans="1:11" x14ac:dyDescent="0.35">
      <c r="A739" s="328" t="s">
        <v>2028</v>
      </c>
      <c r="B739" t="s">
        <v>2029</v>
      </c>
      <c r="C739" s="328"/>
      <c r="D739" s="328" t="str">
        <f t="shared" si="15"/>
        <v>NACE K - 62.20 Computer consultancy and computer facilities management activities</v>
      </c>
      <c r="K739" t="s">
        <v>5383</v>
      </c>
    </row>
    <row r="740" spans="1:11" x14ac:dyDescent="0.35">
      <c r="A740" s="327" t="s">
        <v>2030</v>
      </c>
      <c r="B740" t="s">
        <v>2031</v>
      </c>
      <c r="C740" s="328"/>
      <c r="D740" s="327" t="str">
        <f t="shared" si="15"/>
        <v>NACE K - 62.9 Other information technology and computer service activities</v>
      </c>
      <c r="K740" t="s">
        <v>5384</v>
      </c>
    </row>
    <row r="741" spans="1:11" x14ac:dyDescent="0.35">
      <c r="A741" s="328" t="s">
        <v>2032</v>
      </c>
      <c r="B741" t="s">
        <v>2033</v>
      </c>
      <c r="C741" s="328"/>
      <c r="D741" s="328" t="str">
        <f t="shared" si="15"/>
        <v>NACE K - 62.90 Other information technology and computer service activities</v>
      </c>
      <c r="K741" t="s">
        <v>5385</v>
      </c>
    </row>
    <row r="742" spans="1:11" x14ac:dyDescent="0.35">
      <c r="A742" s="324" t="s">
        <v>2034</v>
      </c>
      <c r="B742" t="s">
        <v>2035</v>
      </c>
      <c r="C742" s="328"/>
      <c r="D742" s="324" t="str">
        <f t="shared" si="15"/>
        <v>NACE K - 63 Computing infrastructure, data processing, hosting and other information service activities</v>
      </c>
      <c r="K742" t="s">
        <v>5386</v>
      </c>
    </row>
    <row r="743" spans="1:11" x14ac:dyDescent="0.35">
      <c r="A743" s="327" t="s">
        <v>2036</v>
      </c>
      <c r="B743" t="s">
        <v>2037</v>
      </c>
      <c r="C743" s="328"/>
      <c r="D743" s="327" t="str">
        <f t="shared" si="15"/>
        <v>NACE K - 63.1 Computing infrastructure, data processing, hosting and related activities</v>
      </c>
      <c r="K743" t="s">
        <v>5387</v>
      </c>
    </row>
    <row r="744" spans="1:11" x14ac:dyDescent="0.35">
      <c r="A744" s="328" t="s">
        <v>2038</v>
      </c>
      <c r="B744" t="s">
        <v>2039</v>
      </c>
      <c r="C744" s="328"/>
      <c r="D744" s="328" t="str">
        <f t="shared" si="15"/>
        <v>NACE K - 63.10 Computing infrastructure, data processing, hosting and related activities</v>
      </c>
      <c r="K744" t="s">
        <v>5388</v>
      </c>
    </row>
    <row r="745" spans="1:11" x14ac:dyDescent="0.35">
      <c r="A745" s="327" t="s">
        <v>2040</v>
      </c>
      <c r="B745" t="s">
        <v>2041</v>
      </c>
      <c r="C745" s="328"/>
      <c r="D745" s="327" t="str">
        <f t="shared" si="15"/>
        <v>NACE K - 63.9 Web search portal activities and other information service activities</v>
      </c>
      <c r="K745" t="s">
        <v>5389</v>
      </c>
    </row>
    <row r="746" spans="1:11" x14ac:dyDescent="0.35">
      <c r="A746" s="328" t="s">
        <v>2042</v>
      </c>
      <c r="B746" t="s">
        <v>2043</v>
      </c>
      <c r="C746" s="328"/>
      <c r="D746" s="328" t="str">
        <f t="shared" si="15"/>
        <v>NACE K - 63.91 Web search portal activities</v>
      </c>
      <c r="K746" t="s">
        <v>5390</v>
      </c>
    </row>
    <row r="747" spans="1:11" x14ac:dyDescent="0.35">
      <c r="A747" s="328" t="s">
        <v>2044</v>
      </c>
      <c r="B747" t="s">
        <v>2045</v>
      </c>
      <c r="C747" s="328"/>
      <c r="D747" s="328" t="str">
        <f t="shared" si="15"/>
        <v>NACE K - 63.92 Other information service activities</v>
      </c>
      <c r="K747" t="s">
        <v>5391</v>
      </c>
    </row>
    <row r="748" spans="1:11" x14ac:dyDescent="0.35">
      <c r="A748" s="325" t="s">
        <v>2046</v>
      </c>
      <c r="B748" t="s">
        <v>2047</v>
      </c>
      <c r="C748" s="328"/>
      <c r="D748" s="325" t="str">
        <f t="shared" si="15"/>
        <v>NACE L - FINANCIAL AND INSURANCE ACTIVITIES</v>
      </c>
      <c r="K748" t="s">
        <v>5392</v>
      </c>
    </row>
    <row r="749" spans="1:11" x14ac:dyDescent="0.35">
      <c r="A749" s="324" t="s">
        <v>2048</v>
      </c>
      <c r="B749" t="s">
        <v>2049</v>
      </c>
      <c r="C749" s="328"/>
      <c r="D749" s="324" t="str">
        <f t="shared" si="15"/>
        <v>NACE L - 64 Financial service activities, except insurance and pension funding</v>
      </c>
      <c r="K749" t="s">
        <v>5393</v>
      </c>
    </row>
    <row r="750" spans="1:11" x14ac:dyDescent="0.35">
      <c r="A750" s="327" t="s">
        <v>2050</v>
      </c>
      <c r="B750" t="s">
        <v>2051</v>
      </c>
      <c r="C750" s="328"/>
      <c r="D750" s="327" t="str">
        <f t="shared" si="15"/>
        <v>NACE L - 64.1 Monetary intermediation</v>
      </c>
      <c r="K750" t="s">
        <v>5394</v>
      </c>
    </row>
    <row r="751" spans="1:11" x14ac:dyDescent="0.35">
      <c r="A751" s="328" t="s">
        <v>2052</v>
      </c>
      <c r="B751" t="s">
        <v>2053</v>
      </c>
      <c r="C751" s="328"/>
      <c r="D751" s="328" t="str">
        <f t="shared" si="15"/>
        <v>NACE L - 64.11 Central banking</v>
      </c>
      <c r="K751" t="s">
        <v>5395</v>
      </c>
    </row>
    <row r="752" spans="1:11" x14ac:dyDescent="0.35">
      <c r="A752" s="328" t="s">
        <v>2054</v>
      </c>
      <c r="B752" t="s">
        <v>2055</v>
      </c>
      <c r="C752" s="328"/>
      <c r="D752" s="328" t="str">
        <f t="shared" si="15"/>
        <v>NACE L - 64.19 Other monetary intermediation</v>
      </c>
      <c r="K752" t="s">
        <v>4657</v>
      </c>
    </row>
    <row r="753" spans="1:11" x14ac:dyDescent="0.35">
      <c r="A753" s="327" t="s">
        <v>2056</v>
      </c>
      <c r="B753" t="s">
        <v>2057</v>
      </c>
      <c r="C753" s="328"/>
      <c r="D753" s="327" t="str">
        <f t="shared" si="15"/>
        <v>NACE L - 64.2 Activities of holding companies and financing conduits</v>
      </c>
      <c r="K753" t="s">
        <v>5396</v>
      </c>
    </row>
    <row r="754" spans="1:11" x14ac:dyDescent="0.35">
      <c r="A754" s="328" t="s">
        <v>2058</v>
      </c>
      <c r="B754" t="s">
        <v>2059</v>
      </c>
      <c r="C754" s="328"/>
      <c r="D754" s="328" t="str">
        <f t="shared" si="15"/>
        <v>NACE L - 64.21 Activities of holding companies</v>
      </c>
      <c r="K754" t="s">
        <v>5397</v>
      </c>
    </row>
    <row r="755" spans="1:11" x14ac:dyDescent="0.35">
      <c r="A755" s="328" t="s">
        <v>2060</v>
      </c>
      <c r="B755" t="s">
        <v>2061</v>
      </c>
      <c r="C755" s="328"/>
      <c r="D755" s="328" t="str">
        <f t="shared" si="15"/>
        <v>NACE L - 64.22 Activities of financing conduits</v>
      </c>
      <c r="K755" t="s">
        <v>5398</v>
      </c>
    </row>
    <row r="756" spans="1:11" x14ac:dyDescent="0.35">
      <c r="A756" s="327" t="s">
        <v>2062</v>
      </c>
      <c r="B756" t="s">
        <v>2063</v>
      </c>
      <c r="C756" s="328"/>
      <c r="D756" s="327" t="str">
        <f t="shared" si="15"/>
        <v>NACE L - 64.3 Activities of trusts, funds and similar financial entities</v>
      </c>
      <c r="K756" t="s">
        <v>5399</v>
      </c>
    </row>
    <row r="757" spans="1:11" x14ac:dyDescent="0.35">
      <c r="A757" s="328" t="s">
        <v>2064</v>
      </c>
      <c r="B757" t="s">
        <v>2065</v>
      </c>
      <c r="C757" s="328"/>
      <c r="D757" s="328" t="str">
        <f t="shared" si="15"/>
        <v>NACE L - 64.31 Activities of money market and non-money market investments funds</v>
      </c>
      <c r="K757" t="s">
        <v>5400</v>
      </c>
    </row>
    <row r="758" spans="1:11" x14ac:dyDescent="0.35">
      <c r="A758" s="328" t="s">
        <v>2066</v>
      </c>
      <c r="B758" t="s">
        <v>2067</v>
      </c>
      <c r="C758" s="328"/>
      <c r="D758" s="328" t="str">
        <f t="shared" si="15"/>
        <v>NACE L - 64.32 Activities of trust, estate and agency accounts</v>
      </c>
      <c r="K758" t="s">
        <v>5401</v>
      </c>
    </row>
    <row r="759" spans="1:11" x14ac:dyDescent="0.35">
      <c r="A759" s="327" t="s">
        <v>2068</v>
      </c>
      <c r="B759" t="s">
        <v>2069</v>
      </c>
      <c r="C759" s="328"/>
      <c r="D759" s="327" t="str">
        <f t="shared" si="15"/>
        <v>NACE L - 64.9 Other financial service activities, except insurance and pension funding</v>
      </c>
      <c r="K759" t="s">
        <v>5402</v>
      </c>
    </row>
    <row r="760" spans="1:11" x14ac:dyDescent="0.35">
      <c r="A760" s="328" t="s">
        <v>2070</v>
      </c>
      <c r="B760" t="s">
        <v>2071</v>
      </c>
      <c r="C760" s="328"/>
      <c r="D760" s="328" t="str">
        <f t="shared" si="15"/>
        <v>NACE L - 64.91 Financial leasing</v>
      </c>
      <c r="K760" t="s">
        <v>5403</v>
      </c>
    </row>
    <row r="761" spans="1:11" x14ac:dyDescent="0.35">
      <c r="A761" s="328" t="s">
        <v>2072</v>
      </c>
      <c r="B761" t="s">
        <v>2073</v>
      </c>
      <c r="C761" s="328"/>
      <c r="D761" s="328" t="str">
        <f t="shared" si="15"/>
        <v>NACE L - 64.92 Other credit granting</v>
      </c>
      <c r="K761" t="s">
        <v>5404</v>
      </c>
    </row>
    <row r="762" spans="1:11" x14ac:dyDescent="0.35">
      <c r="A762" s="328" t="s">
        <v>2074</v>
      </c>
      <c r="B762" t="s">
        <v>2075</v>
      </c>
      <c r="C762" s="328"/>
      <c r="D762" s="328" t="str">
        <f t="shared" si="15"/>
        <v>NACE L - 64.99 Other financial service activities, except insurance and pension funding n.e.c.</v>
      </c>
      <c r="K762" t="s">
        <v>5405</v>
      </c>
    </row>
    <row r="763" spans="1:11" x14ac:dyDescent="0.35">
      <c r="A763" s="324" t="s">
        <v>2076</v>
      </c>
      <c r="B763" t="s">
        <v>2077</v>
      </c>
      <c r="C763" s="328"/>
      <c r="D763" s="324" t="str">
        <f t="shared" si="15"/>
        <v>NACE L - 65 Insurance, reinsurance and pension funding, except compulsory social security</v>
      </c>
      <c r="K763" t="s">
        <v>5406</v>
      </c>
    </row>
    <row r="764" spans="1:11" x14ac:dyDescent="0.35">
      <c r="A764" s="327" t="s">
        <v>2078</v>
      </c>
      <c r="B764" t="s">
        <v>2079</v>
      </c>
      <c r="C764" s="328"/>
      <c r="D764" s="327" t="str">
        <f t="shared" si="15"/>
        <v>NACE L - 65.1 Insurance</v>
      </c>
      <c r="K764" t="s">
        <v>5407</v>
      </c>
    </row>
    <row r="765" spans="1:11" x14ac:dyDescent="0.35">
      <c r="A765" s="328" t="s">
        <v>2080</v>
      </c>
      <c r="B765" t="s">
        <v>2081</v>
      </c>
      <c r="C765" s="328"/>
      <c r="D765" s="328" t="str">
        <f t="shared" si="15"/>
        <v>NACE L - 65.11 Life insurance</v>
      </c>
      <c r="K765" t="s">
        <v>5408</v>
      </c>
    </row>
    <row r="766" spans="1:11" x14ac:dyDescent="0.35">
      <c r="A766" s="328" t="s">
        <v>2082</v>
      </c>
      <c r="B766" t="s">
        <v>2083</v>
      </c>
      <c r="C766" s="328"/>
      <c r="D766" s="328" t="str">
        <f t="shared" si="15"/>
        <v>NACE L - 65.12 Non-life insurance</v>
      </c>
      <c r="K766" t="s">
        <v>5409</v>
      </c>
    </row>
    <row r="767" spans="1:11" x14ac:dyDescent="0.35">
      <c r="A767" s="327" t="s">
        <v>2084</v>
      </c>
      <c r="B767" t="s">
        <v>2085</v>
      </c>
      <c r="C767" s="328"/>
      <c r="D767" s="327" t="str">
        <f t="shared" si="15"/>
        <v>NACE L - 65.2 Reinsurance</v>
      </c>
      <c r="K767" t="s">
        <v>5410</v>
      </c>
    </row>
    <row r="768" spans="1:11" x14ac:dyDescent="0.35">
      <c r="A768" s="328" t="s">
        <v>2086</v>
      </c>
      <c r="B768" t="s">
        <v>2087</v>
      </c>
      <c r="C768" s="328"/>
      <c r="D768" s="328" t="str">
        <f t="shared" si="15"/>
        <v>NACE L - 65.20 Reinsurance</v>
      </c>
      <c r="K768" t="s">
        <v>5411</v>
      </c>
    </row>
    <row r="769" spans="1:11" x14ac:dyDescent="0.35">
      <c r="A769" s="327" t="s">
        <v>2088</v>
      </c>
      <c r="B769" t="s">
        <v>2089</v>
      </c>
      <c r="C769" s="328"/>
      <c r="D769" s="327" t="str">
        <f t="shared" si="15"/>
        <v>NACE L - 65.3 Pension funding</v>
      </c>
      <c r="K769" t="s">
        <v>5412</v>
      </c>
    </row>
    <row r="770" spans="1:11" x14ac:dyDescent="0.35">
      <c r="A770" s="328" t="s">
        <v>2090</v>
      </c>
      <c r="B770" t="s">
        <v>2091</v>
      </c>
      <c r="C770" s="328"/>
      <c r="D770" s="328" t="str">
        <f t="shared" ref="D770:D833" si="16">_xlfn.CONCAT("NACE ", A770)</f>
        <v>NACE L - 65.30 Pension funding</v>
      </c>
      <c r="K770" t="s">
        <v>5413</v>
      </c>
    </row>
    <row r="771" spans="1:11" x14ac:dyDescent="0.35">
      <c r="A771" s="324" t="s">
        <v>2092</v>
      </c>
      <c r="B771" t="s">
        <v>2093</v>
      </c>
      <c r="C771" s="328"/>
      <c r="D771" s="324" t="str">
        <f t="shared" si="16"/>
        <v>NACE L - 66 Activities auxiliary to financial services and insurance activities</v>
      </c>
      <c r="K771" t="s">
        <v>5414</v>
      </c>
    </row>
    <row r="772" spans="1:11" x14ac:dyDescent="0.35">
      <c r="A772" s="327" t="s">
        <v>2094</v>
      </c>
      <c r="B772" t="s">
        <v>2095</v>
      </c>
      <c r="C772" s="328"/>
      <c r="D772" s="327" t="str">
        <f t="shared" si="16"/>
        <v>NACE L - 66.1 Activities auxiliary to financial services, except insurance and pension funding</v>
      </c>
      <c r="K772" t="s">
        <v>5415</v>
      </c>
    </row>
    <row r="773" spans="1:11" x14ac:dyDescent="0.35">
      <c r="A773" s="328" t="s">
        <v>2096</v>
      </c>
      <c r="B773" t="s">
        <v>2097</v>
      </c>
      <c r="C773" s="328"/>
      <c r="D773" s="328" t="str">
        <f t="shared" si="16"/>
        <v>NACE L - 66.11 Administration of financial markets</v>
      </c>
      <c r="K773" t="s">
        <v>5416</v>
      </c>
    </row>
    <row r="774" spans="1:11" x14ac:dyDescent="0.35">
      <c r="A774" s="328" t="s">
        <v>2098</v>
      </c>
      <c r="B774" t="s">
        <v>2099</v>
      </c>
      <c r="C774" s="328"/>
      <c r="D774" s="328" t="str">
        <f t="shared" si="16"/>
        <v>NACE L - 66.12 Security and commodity contracts brokerage</v>
      </c>
      <c r="K774" t="s">
        <v>5417</v>
      </c>
    </row>
    <row r="775" spans="1:11" x14ac:dyDescent="0.35">
      <c r="A775" s="328" t="s">
        <v>2100</v>
      </c>
      <c r="B775" t="s">
        <v>2101</v>
      </c>
      <c r="C775" s="328"/>
      <c r="D775" s="328" t="str">
        <f t="shared" si="16"/>
        <v>NACE L - 66.19 Other activities auxiliary to financial services, except insurance and pension funding</v>
      </c>
      <c r="K775" t="s">
        <v>5418</v>
      </c>
    </row>
    <row r="776" spans="1:11" x14ac:dyDescent="0.35">
      <c r="A776" s="327" t="s">
        <v>2102</v>
      </c>
      <c r="B776" t="s">
        <v>2103</v>
      </c>
      <c r="C776" s="328"/>
      <c r="D776" s="327" t="str">
        <f t="shared" si="16"/>
        <v>NACE L - 66.2 Activities auxiliary to insurance and pension funding</v>
      </c>
      <c r="K776" t="s">
        <v>5419</v>
      </c>
    </row>
    <row r="777" spans="1:11" x14ac:dyDescent="0.35">
      <c r="A777" s="328" t="s">
        <v>2104</v>
      </c>
      <c r="B777" t="s">
        <v>2105</v>
      </c>
      <c r="C777" s="328"/>
      <c r="D777" s="328" t="str">
        <f t="shared" si="16"/>
        <v>NACE L - 66.21 Risk and damage evaluation</v>
      </c>
      <c r="K777" t="s">
        <v>5420</v>
      </c>
    </row>
    <row r="778" spans="1:11" x14ac:dyDescent="0.35">
      <c r="A778" s="328" t="s">
        <v>2106</v>
      </c>
      <c r="B778" t="s">
        <v>2107</v>
      </c>
      <c r="C778" s="328"/>
      <c r="D778" s="328" t="str">
        <f t="shared" si="16"/>
        <v>NACE L - 66.22 Activities of insurance agents and brokers</v>
      </c>
      <c r="K778" t="s">
        <v>5421</v>
      </c>
    </row>
    <row r="779" spans="1:11" x14ac:dyDescent="0.35">
      <c r="A779" s="328" t="s">
        <v>2108</v>
      </c>
      <c r="B779" t="s">
        <v>2109</v>
      </c>
      <c r="C779" s="328"/>
      <c r="D779" s="328" t="str">
        <f t="shared" si="16"/>
        <v>NACE L - 66.29 Activities auxiliary to insurance and pension funding n.e.c.</v>
      </c>
      <c r="K779" t="s">
        <v>5422</v>
      </c>
    </row>
    <row r="780" spans="1:11" x14ac:dyDescent="0.35">
      <c r="A780" s="327" t="s">
        <v>2110</v>
      </c>
      <c r="B780" t="s">
        <v>2111</v>
      </c>
      <c r="C780" s="328"/>
      <c r="D780" s="327" t="str">
        <f t="shared" si="16"/>
        <v>NACE L - 66.3 Fund management activities</v>
      </c>
      <c r="K780" t="s">
        <v>5423</v>
      </c>
    </row>
    <row r="781" spans="1:11" x14ac:dyDescent="0.35">
      <c r="A781" s="328" t="s">
        <v>2112</v>
      </c>
      <c r="B781" t="s">
        <v>2113</v>
      </c>
      <c r="C781" s="328"/>
      <c r="D781" s="328" t="str">
        <f t="shared" si="16"/>
        <v>NACE L - 66.30 Fund management activities</v>
      </c>
      <c r="K781" t="s">
        <v>5424</v>
      </c>
    </row>
    <row r="782" spans="1:11" x14ac:dyDescent="0.35">
      <c r="A782" s="325" t="s">
        <v>2114</v>
      </c>
      <c r="B782" t="s">
        <v>2115</v>
      </c>
      <c r="C782" s="328"/>
      <c r="D782" s="325" t="str">
        <f t="shared" si="16"/>
        <v>NACE M - REAL ESTATE ACTIVITIES</v>
      </c>
      <c r="K782" t="s">
        <v>5425</v>
      </c>
    </row>
    <row r="783" spans="1:11" x14ac:dyDescent="0.35">
      <c r="A783" s="324" t="s">
        <v>2116</v>
      </c>
      <c r="B783" t="s">
        <v>2117</v>
      </c>
      <c r="C783" s="328"/>
      <c r="D783" s="324" t="str">
        <f t="shared" si="16"/>
        <v>NACE M - 68 Real estate activities</v>
      </c>
      <c r="K783" t="s">
        <v>5426</v>
      </c>
    </row>
    <row r="784" spans="1:11" x14ac:dyDescent="0.35">
      <c r="A784" s="327" t="s">
        <v>2118</v>
      </c>
      <c r="B784" t="s">
        <v>2119</v>
      </c>
      <c r="C784" s="328"/>
      <c r="D784" s="327" t="str">
        <f t="shared" si="16"/>
        <v>NACE M - 68.1 Real estate activities with own property and development of building projects</v>
      </c>
      <c r="K784" t="s">
        <v>5427</v>
      </c>
    </row>
    <row r="785" spans="1:11" x14ac:dyDescent="0.35">
      <c r="A785" s="328" t="s">
        <v>2120</v>
      </c>
      <c r="B785" t="s">
        <v>2121</v>
      </c>
      <c r="C785" s="328"/>
      <c r="D785" s="328" t="str">
        <f t="shared" si="16"/>
        <v>NACE M - 68.11 Buying and selling of own real estate</v>
      </c>
      <c r="K785" t="s">
        <v>5428</v>
      </c>
    </row>
    <row r="786" spans="1:11" x14ac:dyDescent="0.35">
      <c r="A786" s="328" t="s">
        <v>2122</v>
      </c>
      <c r="B786" t="s">
        <v>2123</v>
      </c>
      <c r="C786" s="328"/>
      <c r="D786" s="328" t="str">
        <f t="shared" si="16"/>
        <v>NACE M - 68.12 Development of building projects</v>
      </c>
      <c r="K786" t="s">
        <v>5429</v>
      </c>
    </row>
    <row r="787" spans="1:11" x14ac:dyDescent="0.35">
      <c r="A787" s="327" t="s">
        <v>2124</v>
      </c>
      <c r="B787" t="s">
        <v>2125</v>
      </c>
      <c r="C787" s="328"/>
      <c r="D787" s="327" t="str">
        <f t="shared" si="16"/>
        <v>NACE M - 68.2 Rental and operating of own or leased real estate</v>
      </c>
      <c r="K787" t="s">
        <v>5430</v>
      </c>
    </row>
    <row r="788" spans="1:11" x14ac:dyDescent="0.35">
      <c r="A788" s="328" t="s">
        <v>2126</v>
      </c>
      <c r="B788" t="s">
        <v>2127</v>
      </c>
      <c r="C788" s="328"/>
      <c r="D788" s="328" t="str">
        <f t="shared" si="16"/>
        <v>NACE M - 68.20 Rental and operating of own or leased real estate</v>
      </c>
      <c r="K788" t="s">
        <v>5431</v>
      </c>
    </row>
    <row r="789" spans="1:11" x14ac:dyDescent="0.35">
      <c r="A789" s="327" t="s">
        <v>2128</v>
      </c>
      <c r="B789" t="s">
        <v>2129</v>
      </c>
      <c r="C789" s="328"/>
      <c r="D789" s="327" t="str">
        <f t="shared" si="16"/>
        <v>NACE M - 68.3 Real estate activities on a fee or contract basis</v>
      </c>
      <c r="K789" t="s">
        <v>5432</v>
      </c>
    </row>
    <row r="790" spans="1:11" x14ac:dyDescent="0.35">
      <c r="A790" s="328" t="s">
        <v>2130</v>
      </c>
      <c r="B790" t="s">
        <v>2131</v>
      </c>
      <c r="C790" s="328"/>
      <c r="D790" s="328" t="str">
        <f t="shared" si="16"/>
        <v>NACE M - 68.31 Intermediation service activities for real estate activities</v>
      </c>
      <c r="K790" t="s">
        <v>5433</v>
      </c>
    </row>
    <row r="791" spans="1:11" x14ac:dyDescent="0.35">
      <c r="A791" s="328" t="s">
        <v>2132</v>
      </c>
      <c r="B791" t="s">
        <v>2133</v>
      </c>
      <c r="C791" s="328"/>
      <c r="D791" s="328" t="str">
        <f t="shared" si="16"/>
        <v>NACE M - 68.32 Other real estate activities on a fee or contract basis</v>
      </c>
      <c r="K791" t="s">
        <v>5434</v>
      </c>
    </row>
    <row r="792" spans="1:11" x14ac:dyDescent="0.35">
      <c r="A792" s="325" t="s">
        <v>2134</v>
      </c>
      <c r="B792" t="s">
        <v>2135</v>
      </c>
      <c r="C792" s="328"/>
      <c r="D792" s="325" t="str">
        <f t="shared" si="16"/>
        <v>NACE N - PROFESSIONAL, SCIENTIFIC AND TECHNICAL ACTIVITIES</v>
      </c>
      <c r="K792" t="s">
        <v>5435</v>
      </c>
    </row>
    <row r="793" spans="1:11" x14ac:dyDescent="0.35">
      <c r="A793" s="324" t="s">
        <v>2136</v>
      </c>
      <c r="B793" t="s">
        <v>2137</v>
      </c>
      <c r="C793" s="328"/>
      <c r="D793" s="324" t="str">
        <f t="shared" si="16"/>
        <v>NACE N - 69 Legal and accounting activities</v>
      </c>
      <c r="K793" t="s">
        <v>5436</v>
      </c>
    </row>
    <row r="794" spans="1:11" x14ac:dyDescent="0.35">
      <c r="A794" s="327" t="s">
        <v>2138</v>
      </c>
      <c r="B794" t="s">
        <v>2139</v>
      </c>
      <c r="C794" s="328"/>
      <c r="D794" s="327" t="str">
        <f t="shared" si="16"/>
        <v>NACE N - 69.1 Legal activities</v>
      </c>
      <c r="K794" t="s">
        <v>5437</v>
      </c>
    </row>
    <row r="795" spans="1:11" x14ac:dyDescent="0.35">
      <c r="A795" s="328" t="s">
        <v>2140</v>
      </c>
      <c r="B795" t="s">
        <v>2141</v>
      </c>
      <c r="C795" s="328"/>
      <c r="D795" s="328" t="str">
        <f t="shared" si="16"/>
        <v>NACE N - 69.10 Legal activities</v>
      </c>
      <c r="K795" t="s">
        <v>5438</v>
      </c>
    </row>
    <row r="796" spans="1:11" x14ac:dyDescent="0.35">
      <c r="A796" s="327" t="s">
        <v>2142</v>
      </c>
      <c r="B796" t="s">
        <v>2143</v>
      </c>
      <c r="C796" s="328"/>
      <c r="D796" s="327" t="str">
        <f t="shared" si="16"/>
        <v>NACE N - 69.2 Accounting, bookkeeping and auditing activities; tax consultancy</v>
      </c>
      <c r="K796" t="s">
        <v>5439</v>
      </c>
    </row>
    <row r="797" spans="1:11" x14ac:dyDescent="0.35">
      <c r="A797" s="328" t="s">
        <v>2144</v>
      </c>
      <c r="B797" t="s">
        <v>2145</v>
      </c>
      <c r="C797" s="328"/>
      <c r="D797" s="328" t="str">
        <f t="shared" si="16"/>
        <v>NACE N - 69.20 Accounting, bookkeeping and auditing activities; tax consultancy</v>
      </c>
      <c r="K797" t="s">
        <v>5440</v>
      </c>
    </row>
    <row r="798" spans="1:11" x14ac:dyDescent="0.35">
      <c r="A798" s="324" t="s">
        <v>2146</v>
      </c>
      <c r="B798" t="s">
        <v>2147</v>
      </c>
      <c r="C798" s="328"/>
      <c r="D798" s="324" t="str">
        <f t="shared" si="16"/>
        <v>NACE N - 70 Activities of head offices and management consultancy</v>
      </c>
      <c r="K798" t="s">
        <v>5441</v>
      </c>
    </row>
    <row r="799" spans="1:11" x14ac:dyDescent="0.35">
      <c r="A799" s="327" t="s">
        <v>2148</v>
      </c>
      <c r="B799" t="s">
        <v>2149</v>
      </c>
      <c r="C799" s="328"/>
      <c r="D799" s="327" t="str">
        <f t="shared" si="16"/>
        <v>NACE N - 70.1 Activities of head offices</v>
      </c>
      <c r="K799" t="s">
        <v>4658</v>
      </c>
    </row>
    <row r="800" spans="1:11" x14ac:dyDescent="0.35">
      <c r="A800" s="328" t="s">
        <v>2150</v>
      </c>
      <c r="B800" t="s">
        <v>2151</v>
      </c>
      <c r="C800" s="328"/>
      <c r="D800" s="328" t="str">
        <f t="shared" si="16"/>
        <v>NACE N - 70.10 Activities of head offices</v>
      </c>
      <c r="K800" t="s">
        <v>5442</v>
      </c>
    </row>
    <row r="801" spans="1:11" x14ac:dyDescent="0.35">
      <c r="A801" s="327" t="s">
        <v>2152</v>
      </c>
      <c r="B801" t="s">
        <v>2153</v>
      </c>
      <c r="C801" s="328"/>
      <c r="D801" s="327" t="str">
        <f t="shared" si="16"/>
        <v>NACE N - 70.2 Business and other management consultancy activities</v>
      </c>
      <c r="K801" t="s">
        <v>5443</v>
      </c>
    </row>
    <row r="802" spans="1:11" x14ac:dyDescent="0.35">
      <c r="A802" s="328" t="s">
        <v>2154</v>
      </c>
      <c r="B802" t="s">
        <v>2155</v>
      </c>
      <c r="C802" s="328"/>
      <c r="D802" s="328" t="str">
        <f t="shared" si="16"/>
        <v>NACE N - 70.20 Business and other management consultancy activities</v>
      </c>
      <c r="K802" t="s">
        <v>5444</v>
      </c>
    </row>
    <row r="803" spans="1:11" x14ac:dyDescent="0.35">
      <c r="A803" s="324" t="s">
        <v>2156</v>
      </c>
      <c r="B803" t="s">
        <v>2157</v>
      </c>
      <c r="C803" s="328"/>
      <c r="D803" s="324" t="str">
        <f t="shared" si="16"/>
        <v>NACE N - 71 Architectural and engineering activities; technical testing and analysis</v>
      </c>
      <c r="K803" t="s">
        <v>5445</v>
      </c>
    </row>
    <row r="804" spans="1:11" x14ac:dyDescent="0.35">
      <c r="A804" s="327" t="s">
        <v>2158</v>
      </c>
      <c r="B804" t="s">
        <v>2159</v>
      </c>
      <c r="C804" s="328"/>
      <c r="D804" s="327" t="str">
        <f t="shared" si="16"/>
        <v>NACE N - 71.1 Architectural and engineering activities and related technical consultancy</v>
      </c>
      <c r="K804" t="s">
        <v>5446</v>
      </c>
    </row>
    <row r="805" spans="1:11" x14ac:dyDescent="0.35">
      <c r="A805" s="328" t="s">
        <v>2160</v>
      </c>
      <c r="B805" t="s">
        <v>2161</v>
      </c>
      <c r="C805" s="328"/>
      <c r="D805" s="328" t="str">
        <f t="shared" si="16"/>
        <v>NACE N - 71.11 Architectural activities</v>
      </c>
      <c r="K805" t="s">
        <v>5447</v>
      </c>
    </row>
    <row r="806" spans="1:11" x14ac:dyDescent="0.35">
      <c r="A806" s="328" t="s">
        <v>2162</v>
      </c>
      <c r="B806" t="s">
        <v>2163</v>
      </c>
      <c r="C806" s="328"/>
      <c r="D806" s="328" t="str">
        <f t="shared" si="16"/>
        <v>NACE N - 71.12 Engineering activities and related technical consultancy</v>
      </c>
      <c r="K806" t="s">
        <v>5448</v>
      </c>
    </row>
    <row r="807" spans="1:11" x14ac:dyDescent="0.35">
      <c r="A807" s="327" t="s">
        <v>2164</v>
      </c>
      <c r="B807" t="s">
        <v>2165</v>
      </c>
      <c r="C807" s="328"/>
      <c r="D807" s="327" t="str">
        <f t="shared" si="16"/>
        <v>NACE N - 71.2 Technical testing and analysis</v>
      </c>
      <c r="K807" t="s">
        <v>5449</v>
      </c>
    </row>
    <row r="808" spans="1:11" x14ac:dyDescent="0.35">
      <c r="A808" s="328" t="s">
        <v>2166</v>
      </c>
      <c r="B808" t="s">
        <v>2167</v>
      </c>
      <c r="C808" s="328"/>
      <c r="D808" s="328" t="str">
        <f t="shared" si="16"/>
        <v>NACE N - 71.20 Technical testing and analysis</v>
      </c>
      <c r="K808" t="s">
        <v>5450</v>
      </c>
    </row>
    <row r="809" spans="1:11" x14ac:dyDescent="0.35">
      <c r="A809" s="324" t="s">
        <v>2168</v>
      </c>
      <c r="B809" t="s">
        <v>2169</v>
      </c>
      <c r="C809" s="328"/>
      <c r="D809" s="324" t="str">
        <f t="shared" si="16"/>
        <v>NACE N - 72 Scientific research and development</v>
      </c>
      <c r="K809" t="s">
        <v>5451</v>
      </c>
    </row>
    <row r="810" spans="1:11" x14ac:dyDescent="0.35">
      <c r="A810" s="327" t="s">
        <v>2170</v>
      </c>
      <c r="B810" t="s">
        <v>2171</v>
      </c>
      <c r="C810" s="328"/>
      <c r="D810" s="327" t="str">
        <f t="shared" si="16"/>
        <v>NACE N - 72.1 Research and experimental development on natural sciences and engineering</v>
      </c>
      <c r="K810" t="s">
        <v>5452</v>
      </c>
    </row>
    <row r="811" spans="1:11" x14ac:dyDescent="0.35">
      <c r="A811" s="328" t="s">
        <v>2172</v>
      </c>
      <c r="B811" t="s">
        <v>2173</v>
      </c>
      <c r="C811" s="328"/>
      <c r="D811" s="328" t="str">
        <f t="shared" si="16"/>
        <v>NACE N - 72.10 Research and experimental development on natural sciences and engineering</v>
      </c>
      <c r="K811" t="s">
        <v>5453</v>
      </c>
    </row>
    <row r="812" spans="1:11" x14ac:dyDescent="0.35">
      <c r="A812" s="327" t="s">
        <v>2174</v>
      </c>
      <c r="B812" t="s">
        <v>2175</v>
      </c>
      <c r="C812" s="328"/>
      <c r="D812" s="327" t="str">
        <f t="shared" si="16"/>
        <v>NACE N - 72.2 Research and experimental development on social sciences and humanities</v>
      </c>
      <c r="K812" t="s">
        <v>5454</v>
      </c>
    </row>
    <row r="813" spans="1:11" x14ac:dyDescent="0.35">
      <c r="A813" s="328" t="s">
        <v>2176</v>
      </c>
      <c r="B813" t="s">
        <v>2177</v>
      </c>
      <c r="C813" s="328"/>
      <c r="D813" s="328" t="str">
        <f t="shared" si="16"/>
        <v>NACE N - 72.20 Research and experimental development on social sciences and humanities</v>
      </c>
      <c r="K813" t="s">
        <v>5455</v>
      </c>
    </row>
    <row r="814" spans="1:11" x14ac:dyDescent="0.35">
      <c r="A814" s="324" t="s">
        <v>2178</v>
      </c>
      <c r="B814" t="s">
        <v>2179</v>
      </c>
      <c r="C814" s="328"/>
      <c r="D814" s="324" t="str">
        <f t="shared" si="16"/>
        <v>NACE N - 73 Activities of advertising, market research and public relations</v>
      </c>
      <c r="K814" t="s">
        <v>5456</v>
      </c>
    </row>
    <row r="815" spans="1:11" x14ac:dyDescent="0.35">
      <c r="A815" s="327" t="s">
        <v>2180</v>
      </c>
      <c r="B815" t="s">
        <v>2181</v>
      </c>
      <c r="C815" s="328"/>
      <c r="D815" s="327" t="str">
        <f t="shared" si="16"/>
        <v>NACE N - 73.1 Advertising</v>
      </c>
      <c r="K815" t="s">
        <v>5457</v>
      </c>
    </row>
    <row r="816" spans="1:11" x14ac:dyDescent="0.35">
      <c r="A816" s="328" t="s">
        <v>2182</v>
      </c>
      <c r="B816" t="s">
        <v>2183</v>
      </c>
      <c r="C816" s="328"/>
      <c r="D816" s="328" t="str">
        <f t="shared" si="16"/>
        <v>NACE N - 73.11 Activities of advertising agencies</v>
      </c>
      <c r="K816" t="s">
        <v>5458</v>
      </c>
    </row>
    <row r="817" spans="1:11" x14ac:dyDescent="0.35">
      <c r="A817" s="328" t="s">
        <v>2184</v>
      </c>
      <c r="B817" t="s">
        <v>2185</v>
      </c>
      <c r="C817" s="328"/>
      <c r="D817" s="328" t="str">
        <f t="shared" si="16"/>
        <v>NACE N - 73.12 Media representation</v>
      </c>
      <c r="K817" t="s">
        <v>5459</v>
      </c>
    </row>
    <row r="818" spans="1:11" x14ac:dyDescent="0.35">
      <c r="A818" s="327" t="s">
        <v>2186</v>
      </c>
      <c r="B818" t="s">
        <v>2187</v>
      </c>
      <c r="C818" s="328"/>
      <c r="D818" s="327" t="str">
        <f t="shared" si="16"/>
        <v>NACE N - 73.2 Market research and public opinion polling</v>
      </c>
      <c r="K818" t="s">
        <v>4659</v>
      </c>
    </row>
    <row r="819" spans="1:11" x14ac:dyDescent="0.35">
      <c r="A819" s="328" t="s">
        <v>2188</v>
      </c>
      <c r="B819" t="s">
        <v>2189</v>
      </c>
      <c r="C819" s="328"/>
      <c r="D819" s="328" t="str">
        <f t="shared" si="16"/>
        <v>NACE N - 73.20 Market research and public opinion polling</v>
      </c>
      <c r="K819" t="s">
        <v>5460</v>
      </c>
    </row>
    <row r="820" spans="1:11" x14ac:dyDescent="0.35">
      <c r="A820" s="327" t="s">
        <v>2190</v>
      </c>
      <c r="B820" t="s">
        <v>2191</v>
      </c>
      <c r="C820" s="328"/>
      <c r="D820" s="327" t="str">
        <f t="shared" si="16"/>
        <v>NACE N - 73.3 Public relations and communication activities</v>
      </c>
      <c r="K820" t="s">
        <v>5461</v>
      </c>
    </row>
    <row r="821" spans="1:11" x14ac:dyDescent="0.35">
      <c r="A821" s="328" t="s">
        <v>2192</v>
      </c>
      <c r="B821" t="s">
        <v>2193</v>
      </c>
      <c r="C821" s="328"/>
      <c r="D821" s="328" t="str">
        <f t="shared" si="16"/>
        <v>NACE N - 73.30 Public relations and communication activities</v>
      </c>
      <c r="K821" t="s">
        <v>5462</v>
      </c>
    </row>
    <row r="822" spans="1:11" x14ac:dyDescent="0.35">
      <c r="A822" s="324" t="s">
        <v>2194</v>
      </c>
      <c r="B822" t="s">
        <v>2195</v>
      </c>
      <c r="C822" s="328"/>
      <c r="D822" s="324" t="str">
        <f t="shared" si="16"/>
        <v>NACE N - 74 Other professional, scientific and technical activities</v>
      </c>
      <c r="K822" t="s">
        <v>5463</v>
      </c>
    </row>
    <row r="823" spans="1:11" x14ac:dyDescent="0.35">
      <c r="A823" s="327" t="s">
        <v>2196</v>
      </c>
      <c r="B823" t="s">
        <v>2197</v>
      </c>
      <c r="C823" s="328"/>
      <c r="D823" s="327" t="str">
        <f t="shared" si="16"/>
        <v>NACE N - 74.1 Specialised design activities</v>
      </c>
      <c r="K823" t="s">
        <v>5464</v>
      </c>
    </row>
    <row r="824" spans="1:11" x14ac:dyDescent="0.35">
      <c r="A824" s="328" t="s">
        <v>2198</v>
      </c>
      <c r="B824" t="s">
        <v>2199</v>
      </c>
      <c r="C824" s="328"/>
      <c r="D824" s="328" t="str">
        <f t="shared" si="16"/>
        <v>NACE N - 74.11 Industrial product and fashion design activities</v>
      </c>
      <c r="K824" t="s">
        <v>5465</v>
      </c>
    </row>
    <row r="825" spans="1:11" x14ac:dyDescent="0.35">
      <c r="A825" s="328" t="s">
        <v>2200</v>
      </c>
      <c r="B825" t="s">
        <v>2201</v>
      </c>
      <c r="C825" s="328"/>
      <c r="D825" s="328" t="str">
        <f t="shared" si="16"/>
        <v>NACE N - 74.12 Graphic design and visual communication activities</v>
      </c>
      <c r="K825" t="s">
        <v>5466</v>
      </c>
    </row>
    <row r="826" spans="1:11" x14ac:dyDescent="0.35">
      <c r="A826" s="328" t="s">
        <v>2202</v>
      </c>
      <c r="B826" t="s">
        <v>2203</v>
      </c>
      <c r="C826" s="328"/>
      <c r="D826" s="328" t="str">
        <f t="shared" si="16"/>
        <v>NACE N - 74.13 Interior design activities</v>
      </c>
      <c r="K826" t="s">
        <v>5467</v>
      </c>
    </row>
    <row r="827" spans="1:11" x14ac:dyDescent="0.35">
      <c r="A827" s="328" t="s">
        <v>2204</v>
      </c>
      <c r="B827" t="s">
        <v>2205</v>
      </c>
      <c r="C827" s="328"/>
      <c r="D827" s="328" t="str">
        <f t="shared" si="16"/>
        <v>NACE N - 74.14 Other specialised design activities</v>
      </c>
      <c r="K827" t="s">
        <v>5468</v>
      </c>
    </row>
    <row r="828" spans="1:11" x14ac:dyDescent="0.35">
      <c r="A828" s="327" t="s">
        <v>2206</v>
      </c>
      <c r="B828" t="s">
        <v>2207</v>
      </c>
      <c r="C828" s="328"/>
      <c r="D828" s="327" t="str">
        <f t="shared" si="16"/>
        <v>NACE N - 74.2 Photographic activities</v>
      </c>
      <c r="K828" t="s">
        <v>5469</v>
      </c>
    </row>
    <row r="829" spans="1:11" x14ac:dyDescent="0.35">
      <c r="A829" s="328" t="s">
        <v>2208</v>
      </c>
      <c r="B829" t="s">
        <v>2209</v>
      </c>
      <c r="C829" s="328"/>
      <c r="D829" s="328" t="str">
        <f t="shared" si="16"/>
        <v>NACE N - 74.20 Photographic activities</v>
      </c>
      <c r="K829" t="s">
        <v>5470</v>
      </c>
    </row>
    <row r="830" spans="1:11" x14ac:dyDescent="0.35">
      <c r="A830" s="327" t="s">
        <v>2210</v>
      </c>
      <c r="B830" t="s">
        <v>2211</v>
      </c>
      <c r="C830" s="328"/>
      <c r="D830" s="327" t="str">
        <f t="shared" si="16"/>
        <v>NACE N - 74.3 Translation and interpretation activities</v>
      </c>
      <c r="K830" t="s">
        <v>5471</v>
      </c>
    </row>
    <row r="831" spans="1:11" x14ac:dyDescent="0.35">
      <c r="A831" s="328" t="s">
        <v>2212</v>
      </c>
      <c r="B831" t="s">
        <v>2213</v>
      </c>
      <c r="C831" s="328"/>
      <c r="D831" s="328" t="str">
        <f t="shared" si="16"/>
        <v>NACE N - 74.30 Translation and interpretation activities</v>
      </c>
      <c r="K831" t="s">
        <v>5472</v>
      </c>
    </row>
    <row r="832" spans="1:11" x14ac:dyDescent="0.35">
      <c r="A832" s="327" t="s">
        <v>2214</v>
      </c>
      <c r="B832" t="s">
        <v>2215</v>
      </c>
      <c r="C832" s="328"/>
      <c r="D832" s="327" t="str">
        <f t="shared" si="16"/>
        <v>NACE N - 74.9 Other professional, scientific and technical activities n.e.c.</v>
      </c>
      <c r="K832" t="s">
        <v>5473</v>
      </c>
    </row>
    <row r="833" spans="1:11" x14ac:dyDescent="0.35">
      <c r="A833" s="328" t="s">
        <v>2216</v>
      </c>
      <c r="B833" t="s">
        <v>2217</v>
      </c>
      <c r="C833" s="328"/>
      <c r="D833" s="328" t="str">
        <f t="shared" si="16"/>
        <v>NACE N - 74.91 Patent brokering and marketing service activities</v>
      </c>
      <c r="K833" t="s">
        <v>5474</v>
      </c>
    </row>
    <row r="834" spans="1:11" x14ac:dyDescent="0.35">
      <c r="A834" s="328" t="s">
        <v>2218</v>
      </c>
      <c r="B834" t="s">
        <v>2219</v>
      </c>
      <c r="C834" s="328"/>
      <c r="D834" s="328" t="str">
        <f t="shared" ref="D834:D897" si="17">_xlfn.CONCAT("NACE ", A834)</f>
        <v>NACE N - 74.99 All other professional, scientific and technical activities n.e.c.</v>
      </c>
      <c r="K834" t="s">
        <v>5475</v>
      </c>
    </row>
    <row r="835" spans="1:11" x14ac:dyDescent="0.35">
      <c r="A835" s="324" t="s">
        <v>2220</v>
      </c>
      <c r="B835" t="s">
        <v>2221</v>
      </c>
      <c r="C835" s="328"/>
      <c r="D835" s="324" t="str">
        <f t="shared" si="17"/>
        <v>NACE N - 75 Veterinary activities</v>
      </c>
      <c r="K835" t="s">
        <v>5476</v>
      </c>
    </row>
    <row r="836" spans="1:11" x14ac:dyDescent="0.35">
      <c r="A836" s="327" t="s">
        <v>2222</v>
      </c>
      <c r="B836" t="s">
        <v>2223</v>
      </c>
      <c r="C836" s="328"/>
      <c r="D836" s="327" t="str">
        <f t="shared" si="17"/>
        <v>NACE N - 75.0 Veterinary activities</v>
      </c>
      <c r="K836" t="s">
        <v>5477</v>
      </c>
    </row>
    <row r="837" spans="1:11" x14ac:dyDescent="0.35">
      <c r="A837" s="328" t="s">
        <v>2224</v>
      </c>
      <c r="B837" t="s">
        <v>2225</v>
      </c>
      <c r="C837" s="328"/>
      <c r="D837" s="328" t="str">
        <f t="shared" si="17"/>
        <v>NACE N - 75.00 Veterinary activities</v>
      </c>
      <c r="K837" t="s">
        <v>5478</v>
      </c>
    </row>
    <row r="838" spans="1:11" x14ac:dyDescent="0.35">
      <c r="A838" s="325" t="s">
        <v>2226</v>
      </c>
      <c r="B838" t="s">
        <v>2227</v>
      </c>
      <c r="C838" s="328"/>
      <c r="D838" s="325" t="str">
        <f t="shared" si="17"/>
        <v>NACE O - ADMINISTRATIVE AND SUPPORT SERVICE ACTIVITIES</v>
      </c>
      <c r="K838" t="s">
        <v>5479</v>
      </c>
    </row>
    <row r="839" spans="1:11" x14ac:dyDescent="0.35">
      <c r="A839" s="324" t="s">
        <v>2228</v>
      </c>
      <c r="B839" t="s">
        <v>2229</v>
      </c>
      <c r="C839" s="328"/>
      <c r="D839" s="324" t="str">
        <f t="shared" si="17"/>
        <v>NACE O - 77 Rental and leasing activities</v>
      </c>
      <c r="K839" t="s">
        <v>5480</v>
      </c>
    </row>
    <row r="840" spans="1:11" x14ac:dyDescent="0.35">
      <c r="A840" s="327" t="s">
        <v>2230</v>
      </c>
      <c r="B840" t="s">
        <v>2231</v>
      </c>
      <c r="C840" s="328"/>
      <c r="D840" s="327" t="str">
        <f t="shared" si="17"/>
        <v>NACE O - 77.1 Rental and leasing of motor vehicles</v>
      </c>
      <c r="K840" t="s">
        <v>5481</v>
      </c>
    </row>
    <row r="841" spans="1:11" x14ac:dyDescent="0.35">
      <c r="A841" s="328" t="s">
        <v>2232</v>
      </c>
      <c r="B841" t="s">
        <v>2233</v>
      </c>
      <c r="C841" s="328"/>
      <c r="D841" s="328" t="str">
        <f t="shared" si="17"/>
        <v>NACE O - 77.11 Rental and leasing of cars and light motor vehicles</v>
      </c>
      <c r="K841" t="s">
        <v>5482</v>
      </c>
    </row>
    <row r="842" spans="1:11" x14ac:dyDescent="0.35">
      <c r="A842" s="328" t="s">
        <v>2234</v>
      </c>
      <c r="B842" t="s">
        <v>2235</v>
      </c>
      <c r="C842" s="328"/>
      <c r="D842" s="328" t="str">
        <f t="shared" si="17"/>
        <v>NACE O - 77.12 Rental and leasing of trucks</v>
      </c>
      <c r="K842" t="s">
        <v>5483</v>
      </c>
    </row>
    <row r="843" spans="1:11" x14ac:dyDescent="0.35">
      <c r="A843" s="327" t="s">
        <v>2236</v>
      </c>
      <c r="B843" t="s">
        <v>2237</v>
      </c>
      <c r="C843" s="328"/>
      <c r="D843" s="327" t="str">
        <f t="shared" si="17"/>
        <v>NACE O - 77.2 Rental and leasing of personal and household goods</v>
      </c>
      <c r="K843" t="s">
        <v>5484</v>
      </c>
    </row>
    <row r="844" spans="1:11" x14ac:dyDescent="0.35">
      <c r="A844" s="328" t="s">
        <v>2238</v>
      </c>
      <c r="B844" t="s">
        <v>2239</v>
      </c>
      <c r="C844" s="328"/>
      <c r="D844" s="328" t="str">
        <f t="shared" si="17"/>
        <v>NACE O - 77.21 Rental and leasing of recreational and sports goods</v>
      </c>
      <c r="K844" t="s">
        <v>5485</v>
      </c>
    </row>
    <row r="845" spans="1:11" x14ac:dyDescent="0.35">
      <c r="A845" s="328" t="s">
        <v>2240</v>
      </c>
      <c r="B845" t="s">
        <v>2241</v>
      </c>
      <c r="C845" s="328"/>
      <c r="D845" s="328" t="str">
        <f t="shared" si="17"/>
        <v>NACE O - 77.22 Rental and leasing of other personal and household goods</v>
      </c>
      <c r="K845" t="s">
        <v>5486</v>
      </c>
    </row>
    <row r="846" spans="1:11" x14ac:dyDescent="0.35">
      <c r="A846" s="327" t="s">
        <v>2242</v>
      </c>
      <c r="B846" t="s">
        <v>2243</v>
      </c>
      <c r="C846" s="328"/>
      <c r="D846" s="327" t="str">
        <f t="shared" si="17"/>
        <v>NACE O - 77.3 Rental and leasing of other machinery, equipment and tangible goods</v>
      </c>
      <c r="K846" t="s">
        <v>5487</v>
      </c>
    </row>
    <row r="847" spans="1:11" x14ac:dyDescent="0.35">
      <c r="A847" s="328" t="s">
        <v>2244</v>
      </c>
      <c r="B847" t="s">
        <v>2245</v>
      </c>
      <c r="C847" s="328"/>
      <c r="D847" s="328" t="str">
        <f t="shared" si="17"/>
        <v>NACE O - 77.31 Rental and leasing of agricultural machinery and equipment</v>
      </c>
      <c r="K847" t="s">
        <v>5488</v>
      </c>
    </row>
    <row r="848" spans="1:11" x14ac:dyDescent="0.35">
      <c r="A848" s="328" t="s">
        <v>2246</v>
      </c>
      <c r="B848" t="s">
        <v>2247</v>
      </c>
      <c r="C848" s="328"/>
      <c r="D848" s="328" t="str">
        <f t="shared" si="17"/>
        <v>NACE O - 77.32 Rental and leasing of construction and civil engineering machinery and equipment</v>
      </c>
      <c r="K848" t="s">
        <v>5489</v>
      </c>
    </row>
    <row r="849" spans="1:11" x14ac:dyDescent="0.35">
      <c r="A849" s="328" t="s">
        <v>2248</v>
      </c>
      <c r="B849" t="s">
        <v>2249</v>
      </c>
      <c r="C849" s="328"/>
      <c r="D849" s="328" t="str">
        <f t="shared" si="17"/>
        <v>NACE O - 77.33 Rental and leasing of office machinery, equipment and computers</v>
      </c>
      <c r="K849" t="s">
        <v>5490</v>
      </c>
    </row>
    <row r="850" spans="1:11" x14ac:dyDescent="0.35">
      <c r="A850" s="328" t="s">
        <v>2250</v>
      </c>
      <c r="B850" t="s">
        <v>2251</v>
      </c>
      <c r="C850" s="328"/>
      <c r="D850" s="328" t="str">
        <f t="shared" si="17"/>
        <v>NACE O - 77.34 Rental and leasing of water transport equipment</v>
      </c>
      <c r="K850" t="s">
        <v>5491</v>
      </c>
    </row>
    <row r="851" spans="1:11" x14ac:dyDescent="0.35">
      <c r="A851" s="328" t="s">
        <v>2252</v>
      </c>
      <c r="B851" t="s">
        <v>2253</v>
      </c>
      <c r="C851" s="328"/>
      <c r="D851" s="328" t="str">
        <f t="shared" si="17"/>
        <v>NACE O - 77.35 Rental and leasing of air transport equipment</v>
      </c>
      <c r="K851" t="s">
        <v>5492</v>
      </c>
    </row>
    <row r="852" spans="1:11" x14ac:dyDescent="0.35">
      <c r="A852" s="328" t="s">
        <v>2254</v>
      </c>
      <c r="B852" t="s">
        <v>2255</v>
      </c>
      <c r="C852" s="328"/>
      <c r="D852" s="328" t="str">
        <f t="shared" si="17"/>
        <v>NACE O - 77.39 Rental and leasing of other machinery, equipment and tangible goods n.e.c.</v>
      </c>
      <c r="K852" t="s">
        <v>5493</v>
      </c>
    </row>
    <row r="853" spans="1:11" x14ac:dyDescent="0.35">
      <c r="A853" s="327" t="s">
        <v>2256</v>
      </c>
      <c r="B853" t="s">
        <v>2257</v>
      </c>
      <c r="C853" s="328"/>
      <c r="D853" s="327" t="str">
        <f t="shared" si="17"/>
        <v>NACE O - 77.4 Leasing of intellectual property and similar products, except copyrighted works</v>
      </c>
      <c r="K853" t="s">
        <v>5494</v>
      </c>
    </row>
    <row r="854" spans="1:11" x14ac:dyDescent="0.35">
      <c r="A854" s="328" t="s">
        <v>2258</v>
      </c>
      <c r="B854" t="s">
        <v>2259</v>
      </c>
      <c r="C854" s="328"/>
      <c r="D854" s="328" t="str">
        <f t="shared" si="17"/>
        <v>NACE O - 77.40 Leasing of intellectual property and similar products, except copyrighted works</v>
      </c>
      <c r="K854" t="s">
        <v>5495</v>
      </c>
    </row>
    <row r="855" spans="1:11" x14ac:dyDescent="0.35">
      <c r="A855" s="327" t="s">
        <v>2260</v>
      </c>
      <c r="B855" t="s">
        <v>2261</v>
      </c>
      <c r="C855" s="328"/>
      <c r="D855" s="327" t="str">
        <f t="shared" si="17"/>
        <v>NACE O - 77.5 Intermediation service activities for rental and leasing of tangible goods and non-financial intangible assets</v>
      </c>
      <c r="K855" t="s">
        <v>5496</v>
      </c>
    </row>
    <row r="856" spans="1:11" x14ac:dyDescent="0.35">
      <c r="A856" s="328" t="s">
        <v>2262</v>
      </c>
      <c r="B856" t="s">
        <v>2263</v>
      </c>
      <c r="C856" s="328"/>
      <c r="D856" s="328" t="str">
        <f t="shared" si="17"/>
        <v>NACE O - 77.51 Intermediation service activities for rental and leasing of cars, motorhomes and trailers</v>
      </c>
      <c r="K856" t="s">
        <v>5497</v>
      </c>
    </row>
    <row r="857" spans="1:11" x14ac:dyDescent="0.35">
      <c r="A857" s="328" t="s">
        <v>2264</v>
      </c>
      <c r="B857" t="s">
        <v>2265</v>
      </c>
      <c r="C857" s="328"/>
      <c r="D857" s="328" t="str">
        <f t="shared" si="17"/>
        <v>NACE O - 77.52 Intermediation service activities for rental and leasing of other tangible goods and non-financial intangible assets</v>
      </c>
      <c r="K857" t="s">
        <v>5498</v>
      </c>
    </row>
    <row r="858" spans="1:11" x14ac:dyDescent="0.35">
      <c r="A858" s="324" t="s">
        <v>2266</v>
      </c>
      <c r="B858" t="s">
        <v>2267</v>
      </c>
      <c r="C858" s="328"/>
      <c r="D858" s="324" t="str">
        <f t="shared" si="17"/>
        <v>NACE O - 78 Employment activities</v>
      </c>
      <c r="K858" t="s">
        <v>5499</v>
      </c>
    </row>
    <row r="859" spans="1:11" x14ac:dyDescent="0.35">
      <c r="A859" s="327" t="s">
        <v>2268</v>
      </c>
      <c r="B859" t="s">
        <v>2269</v>
      </c>
      <c r="C859" s="328"/>
      <c r="D859" s="327" t="str">
        <f t="shared" si="17"/>
        <v>NACE O - 78.1 Activities of employment placement agencies</v>
      </c>
      <c r="K859" t="s">
        <v>5500</v>
      </c>
    </row>
    <row r="860" spans="1:11" x14ac:dyDescent="0.35">
      <c r="A860" s="328" t="s">
        <v>2270</v>
      </c>
      <c r="B860" t="s">
        <v>2271</v>
      </c>
      <c r="C860" s="328"/>
      <c r="D860" s="328" t="str">
        <f t="shared" si="17"/>
        <v>NACE O - 78.10 Activities of employment placement agencies</v>
      </c>
      <c r="K860" t="s">
        <v>5501</v>
      </c>
    </row>
    <row r="861" spans="1:11" x14ac:dyDescent="0.35">
      <c r="A861" s="327" t="s">
        <v>2272</v>
      </c>
      <c r="B861" t="s">
        <v>2273</v>
      </c>
      <c r="C861" s="328"/>
      <c r="D861" s="327" t="str">
        <f t="shared" si="17"/>
        <v>NACE O - 78.2 Temporary employment agency activities and other human resource provisions</v>
      </c>
      <c r="K861" t="s">
        <v>5502</v>
      </c>
    </row>
    <row r="862" spans="1:11" x14ac:dyDescent="0.35">
      <c r="A862" s="328" t="s">
        <v>2274</v>
      </c>
      <c r="B862" t="s">
        <v>2275</v>
      </c>
      <c r="C862" s="328"/>
      <c r="D862" s="328" t="str">
        <f t="shared" si="17"/>
        <v>NACE O - 78.20 Temporary employment agency activities and other human resource provisions</v>
      </c>
      <c r="K862" t="s">
        <v>5503</v>
      </c>
    </row>
    <row r="863" spans="1:11" x14ac:dyDescent="0.35">
      <c r="A863" s="324" t="s">
        <v>2276</v>
      </c>
      <c r="B863" t="s">
        <v>2277</v>
      </c>
      <c r="C863" s="328"/>
      <c r="D863" s="324" t="str">
        <f t="shared" si="17"/>
        <v>NACE O - 79 Travel agency, tour operator and other reservation service and related activities</v>
      </c>
      <c r="K863" t="s">
        <v>5504</v>
      </c>
    </row>
    <row r="864" spans="1:11" x14ac:dyDescent="0.35">
      <c r="A864" s="327" t="s">
        <v>2278</v>
      </c>
      <c r="B864" t="s">
        <v>2279</v>
      </c>
      <c r="C864" s="328"/>
      <c r="D864" s="327" t="str">
        <f t="shared" si="17"/>
        <v>NACE O - 79.1 Travel agency and tour operator activities</v>
      </c>
      <c r="K864" t="s">
        <v>5505</v>
      </c>
    </row>
    <row r="865" spans="1:11" x14ac:dyDescent="0.35">
      <c r="A865" s="328" t="s">
        <v>2280</v>
      </c>
      <c r="B865" t="s">
        <v>2281</v>
      </c>
      <c r="C865" s="328"/>
      <c r="D865" s="328" t="str">
        <f t="shared" si="17"/>
        <v>NACE O - 79.11 Travel agency activities</v>
      </c>
      <c r="K865" t="s">
        <v>5506</v>
      </c>
    </row>
    <row r="866" spans="1:11" x14ac:dyDescent="0.35">
      <c r="A866" s="328" t="s">
        <v>2282</v>
      </c>
      <c r="B866" t="s">
        <v>2283</v>
      </c>
      <c r="C866" s="328"/>
      <c r="D866" s="328" t="str">
        <f t="shared" si="17"/>
        <v>NACE O - 79.12 Tour operator activities</v>
      </c>
      <c r="K866" t="s">
        <v>5507</v>
      </c>
    </row>
    <row r="867" spans="1:11" x14ac:dyDescent="0.35">
      <c r="A867" s="327" t="s">
        <v>2284</v>
      </c>
      <c r="B867" t="s">
        <v>2285</v>
      </c>
      <c r="C867" s="328"/>
      <c r="D867" s="327" t="str">
        <f t="shared" si="17"/>
        <v>NACE O - 79.9 Other reservation service and related activities</v>
      </c>
      <c r="K867" t="s">
        <v>5508</v>
      </c>
    </row>
    <row r="868" spans="1:11" x14ac:dyDescent="0.35">
      <c r="A868" s="328" t="s">
        <v>2286</v>
      </c>
      <c r="B868" t="s">
        <v>2287</v>
      </c>
      <c r="C868" s="328"/>
      <c r="D868" s="328" t="str">
        <f t="shared" si="17"/>
        <v>NACE O - 79.90 Other reservation service and related activities</v>
      </c>
      <c r="K868" t="s">
        <v>5509</v>
      </c>
    </row>
    <row r="869" spans="1:11" x14ac:dyDescent="0.35">
      <c r="A869" s="324" t="s">
        <v>2288</v>
      </c>
      <c r="B869" t="s">
        <v>2289</v>
      </c>
      <c r="C869" s="328"/>
      <c r="D869" s="324" t="str">
        <f t="shared" si="17"/>
        <v>NACE O - 80 Investigation and security activities</v>
      </c>
      <c r="K869" t="s">
        <v>5510</v>
      </c>
    </row>
    <row r="870" spans="1:11" x14ac:dyDescent="0.35">
      <c r="A870" s="327" t="s">
        <v>2290</v>
      </c>
      <c r="B870" t="s">
        <v>2291</v>
      </c>
      <c r="C870" s="328"/>
      <c r="D870" s="327" t="str">
        <f t="shared" si="17"/>
        <v>NACE O - 80.0 Investigation and security activities</v>
      </c>
      <c r="K870" t="s">
        <v>5511</v>
      </c>
    </row>
    <row r="871" spans="1:11" x14ac:dyDescent="0.35">
      <c r="A871" s="328" t="s">
        <v>2292</v>
      </c>
      <c r="B871" t="s">
        <v>2293</v>
      </c>
      <c r="C871" s="328"/>
      <c r="D871" s="328" t="str">
        <f t="shared" si="17"/>
        <v>NACE O - 80.01 Investigation and private security activities</v>
      </c>
      <c r="K871" t="s">
        <v>5512</v>
      </c>
    </row>
    <row r="872" spans="1:11" x14ac:dyDescent="0.35">
      <c r="A872" s="328" t="s">
        <v>2294</v>
      </c>
      <c r="B872" t="s">
        <v>2295</v>
      </c>
      <c r="C872" s="328"/>
      <c r="D872" s="328" t="str">
        <f t="shared" si="17"/>
        <v>NACE O - 80.09 Security activities n.e.c.</v>
      </c>
      <c r="K872" t="s">
        <v>5513</v>
      </c>
    </row>
    <row r="873" spans="1:11" x14ac:dyDescent="0.35">
      <c r="A873" s="324" t="s">
        <v>2296</v>
      </c>
      <c r="B873" t="s">
        <v>2297</v>
      </c>
      <c r="C873" s="328"/>
      <c r="D873" s="324" t="str">
        <f t="shared" si="17"/>
        <v>NACE O - 81 Services to buildings and landscape activities</v>
      </c>
      <c r="K873" t="s">
        <v>5514</v>
      </c>
    </row>
    <row r="874" spans="1:11" x14ac:dyDescent="0.35">
      <c r="A874" s="327" t="s">
        <v>2298</v>
      </c>
      <c r="B874" t="s">
        <v>2299</v>
      </c>
      <c r="C874" s="328"/>
      <c r="D874" s="327" t="str">
        <f t="shared" si="17"/>
        <v>NACE O - 81.1 Combined facilities support activities</v>
      </c>
      <c r="K874" t="s">
        <v>5515</v>
      </c>
    </row>
    <row r="875" spans="1:11" x14ac:dyDescent="0.35">
      <c r="A875" s="328" t="s">
        <v>2300</v>
      </c>
      <c r="B875" t="s">
        <v>2301</v>
      </c>
      <c r="C875" s="328"/>
      <c r="D875" s="328" t="str">
        <f t="shared" si="17"/>
        <v>NACE O - 81.10 Combined facilities support activities</v>
      </c>
      <c r="K875" t="s">
        <v>5516</v>
      </c>
    </row>
    <row r="876" spans="1:11" x14ac:dyDescent="0.35">
      <c r="A876" s="327" t="s">
        <v>2302</v>
      </c>
      <c r="B876" t="s">
        <v>2303</v>
      </c>
      <c r="C876" s="328"/>
      <c r="D876" s="327" t="str">
        <f t="shared" si="17"/>
        <v>NACE O - 81.2 Cleaning activities</v>
      </c>
      <c r="K876" t="s">
        <v>5517</v>
      </c>
    </row>
    <row r="877" spans="1:11" x14ac:dyDescent="0.35">
      <c r="A877" s="328" t="s">
        <v>2304</v>
      </c>
      <c r="B877" t="s">
        <v>2305</v>
      </c>
      <c r="C877" s="328"/>
      <c r="D877" s="328" t="str">
        <f t="shared" si="17"/>
        <v>NACE O - 81.21 General cleaning of buildings</v>
      </c>
      <c r="K877" t="s">
        <v>5518</v>
      </c>
    </row>
    <row r="878" spans="1:11" x14ac:dyDescent="0.35">
      <c r="A878" s="328" t="s">
        <v>2306</v>
      </c>
      <c r="B878" t="s">
        <v>2307</v>
      </c>
      <c r="C878" s="328"/>
      <c r="D878" s="328" t="str">
        <f t="shared" si="17"/>
        <v>NACE O - 81.22 Other building and industrial cleaning activities</v>
      </c>
      <c r="K878" t="s">
        <v>5519</v>
      </c>
    </row>
    <row r="879" spans="1:11" x14ac:dyDescent="0.35">
      <c r="A879" s="328" t="s">
        <v>2308</v>
      </c>
      <c r="B879" t="s">
        <v>2309</v>
      </c>
      <c r="C879" s="328"/>
      <c r="D879" s="328" t="str">
        <f t="shared" si="17"/>
        <v>NACE O - 81.23 Other cleaning activities</v>
      </c>
      <c r="K879" t="s">
        <v>5520</v>
      </c>
    </row>
    <row r="880" spans="1:11" x14ac:dyDescent="0.35">
      <c r="A880" s="327" t="s">
        <v>2310</v>
      </c>
      <c r="B880" t="s">
        <v>2311</v>
      </c>
      <c r="C880" s="328"/>
      <c r="D880" s="327" t="str">
        <f t="shared" si="17"/>
        <v>NACE O - 81.3 Landscape service activities</v>
      </c>
      <c r="K880" t="s">
        <v>5521</v>
      </c>
    </row>
    <row r="881" spans="1:11" x14ac:dyDescent="0.35">
      <c r="A881" s="328" t="s">
        <v>2312</v>
      </c>
      <c r="B881" t="s">
        <v>2313</v>
      </c>
      <c r="C881" s="328"/>
      <c r="D881" s="328" t="str">
        <f t="shared" si="17"/>
        <v>NACE O - 81.30 Landscape service activities</v>
      </c>
      <c r="K881" t="s">
        <v>5522</v>
      </c>
    </row>
    <row r="882" spans="1:11" x14ac:dyDescent="0.35">
      <c r="A882" s="324" t="s">
        <v>2314</v>
      </c>
      <c r="B882" t="s">
        <v>2315</v>
      </c>
      <c r="C882" s="328"/>
      <c r="D882" s="324" t="str">
        <f t="shared" si="17"/>
        <v>NACE O - 82 Office administrative, office support and other business support activities</v>
      </c>
      <c r="K882" t="s">
        <v>5523</v>
      </c>
    </row>
    <row r="883" spans="1:11" x14ac:dyDescent="0.35">
      <c r="A883" s="327" t="s">
        <v>2316</v>
      </c>
      <c r="B883" t="s">
        <v>2317</v>
      </c>
      <c r="C883" s="328"/>
      <c r="D883" s="327" t="str">
        <f t="shared" si="17"/>
        <v>NACE O - 82.1 Office administrative and support activities</v>
      </c>
      <c r="K883" t="s">
        <v>5524</v>
      </c>
    </row>
    <row r="884" spans="1:11" x14ac:dyDescent="0.35">
      <c r="A884" s="328" t="s">
        <v>2318</v>
      </c>
      <c r="B884" t="s">
        <v>2319</v>
      </c>
      <c r="C884" s="328"/>
      <c r="D884" s="328" t="str">
        <f t="shared" si="17"/>
        <v>NACE O - 82.10 Office administrative and support activities</v>
      </c>
      <c r="K884" t="s">
        <v>5525</v>
      </c>
    </row>
    <row r="885" spans="1:11" x14ac:dyDescent="0.35">
      <c r="A885" s="327" t="s">
        <v>2320</v>
      </c>
      <c r="B885" t="s">
        <v>2321</v>
      </c>
      <c r="C885" s="328"/>
      <c r="D885" s="327" t="str">
        <f t="shared" si="17"/>
        <v>NACE O - 82.2 Activities of call centres</v>
      </c>
      <c r="K885" t="s">
        <v>5526</v>
      </c>
    </row>
    <row r="886" spans="1:11" x14ac:dyDescent="0.35">
      <c r="A886" s="328" t="s">
        <v>2322</v>
      </c>
      <c r="B886" t="s">
        <v>2323</v>
      </c>
      <c r="C886" s="328"/>
      <c r="D886" s="328" t="str">
        <f t="shared" si="17"/>
        <v>NACE O - 82.20 Activities of call centres</v>
      </c>
      <c r="K886" t="s">
        <v>5527</v>
      </c>
    </row>
    <row r="887" spans="1:11" x14ac:dyDescent="0.35">
      <c r="A887" s="327" t="s">
        <v>2324</v>
      </c>
      <c r="B887" t="s">
        <v>2325</v>
      </c>
      <c r="C887" s="328"/>
      <c r="D887" s="327" t="str">
        <f t="shared" si="17"/>
        <v>NACE O - 82.3 Organisation of conventions and trade shows</v>
      </c>
      <c r="K887" t="s">
        <v>5528</v>
      </c>
    </row>
    <row r="888" spans="1:11" x14ac:dyDescent="0.35">
      <c r="A888" s="328" t="s">
        <v>2326</v>
      </c>
      <c r="B888" t="s">
        <v>2327</v>
      </c>
      <c r="C888" s="328"/>
      <c r="D888" s="328" t="str">
        <f t="shared" si="17"/>
        <v>NACE O - 82.30 Organisation of conventions and trade shows</v>
      </c>
      <c r="K888" t="s">
        <v>5529</v>
      </c>
    </row>
    <row r="889" spans="1:11" x14ac:dyDescent="0.35">
      <c r="A889" s="327" t="s">
        <v>2328</v>
      </c>
      <c r="B889" t="s">
        <v>2329</v>
      </c>
      <c r="C889" s="328"/>
      <c r="D889" s="327" t="str">
        <f t="shared" si="17"/>
        <v>NACE O - 82.4 Intermediation service activities for business support service activities n.e.c.</v>
      </c>
      <c r="K889" t="s">
        <v>5530</v>
      </c>
    </row>
    <row r="890" spans="1:11" x14ac:dyDescent="0.35">
      <c r="A890" s="328" t="s">
        <v>2330</v>
      </c>
      <c r="B890" t="s">
        <v>2331</v>
      </c>
      <c r="C890" s="328"/>
      <c r="D890" s="328" t="str">
        <f t="shared" si="17"/>
        <v>NACE O - 82.40 Intermediation service activities for business support service activities n.e.c.</v>
      </c>
      <c r="K890" t="s">
        <v>5531</v>
      </c>
    </row>
    <row r="891" spans="1:11" x14ac:dyDescent="0.35">
      <c r="A891" s="327" t="s">
        <v>2332</v>
      </c>
      <c r="B891" t="s">
        <v>2333</v>
      </c>
      <c r="C891" s="328"/>
      <c r="D891" s="327" t="str">
        <f t="shared" si="17"/>
        <v>NACE O - 82.9 Business support service activities n.e.c.</v>
      </c>
      <c r="K891" t="s">
        <v>5532</v>
      </c>
    </row>
    <row r="892" spans="1:11" x14ac:dyDescent="0.35">
      <c r="A892" s="328" t="s">
        <v>2334</v>
      </c>
      <c r="B892" t="s">
        <v>2335</v>
      </c>
      <c r="C892" s="328"/>
      <c r="D892" s="328" t="str">
        <f t="shared" si="17"/>
        <v>NACE O - 82.91 Activities of collection agencies and credit bureaus</v>
      </c>
      <c r="K892" t="s">
        <v>5533</v>
      </c>
    </row>
    <row r="893" spans="1:11" x14ac:dyDescent="0.35">
      <c r="A893" s="328" t="s">
        <v>2336</v>
      </c>
      <c r="B893" t="s">
        <v>2337</v>
      </c>
      <c r="C893" s="328"/>
      <c r="D893" s="328" t="str">
        <f t="shared" si="17"/>
        <v>NACE O - 82.92 Packaging activities</v>
      </c>
      <c r="K893" t="s">
        <v>5534</v>
      </c>
    </row>
    <row r="894" spans="1:11" x14ac:dyDescent="0.35">
      <c r="A894" s="328" t="s">
        <v>2338</v>
      </c>
      <c r="B894" t="s">
        <v>2339</v>
      </c>
      <c r="C894" s="328"/>
      <c r="D894" s="328" t="str">
        <f t="shared" si="17"/>
        <v>NACE O - 82.99 Other business support service activities n.e.c.</v>
      </c>
      <c r="K894" t="s">
        <v>5535</v>
      </c>
    </row>
    <row r="895" spans="1:11" x14ac:dyDescent="0.35">
      <c r="A895" s="325" t="s">
        <v>2340</v>
      </c>
      <c r="B895" t="s">
        <v>2341</v>
      </c>
      <c r="C895" s="328"/>
      <c r="D895" s="325" t="str">
        <f t="shared" si="17"/>
        <v>NACE P - PUBLIC ADMINISTRATION AND DEFENCE; COMPULSORY SOCIAL SECURITY</v>
      </c>
      <c r="K895" t="s">
        <v>5536</v>
      </c>
    </row>
    <row r="896" spans="1:11" x14ac:dyDescent="0.35">
      <c r="A896" s="324" t="s">
        <v>2342</v>
      </c>
      <c r="B896" t="s">
        <v>2343</v>
      </c>
      <c r="C896" s="328"/>
      <c r="D896" s="324" t="str">
        <f t="shared" si="17"/>
        <v>NACE P - 84 Public administration and defence; compulsory social security</v>
      </c>
      <c r="K896" t="s">
        <v>5537</v>
      </c>
    </row>
    <row r="897" spans="1:11" x14ac:dyDescent="0.35">
      <c r="A897" s="327" t="s">
        <v>2344</v>
      </c>
      <c r="B897" t="s">
        <v>2345</v>
      </c>
      <c r="C897" s="328"/>
      <c r="D897" s="327" t="str">
        <f t="shared" si="17"/>
        <v>NACE P - 84.1 Administration of the State and the economic, social and environmental policies of the community</v>
      </c>
      <c r="K897" t="s">
        <v>5538</v>
      </c>
    </row>
    <row r="898" spans="1:11" x14ac:dyDescent="0.35">
      <c r="A898" s="328" t="s">
        <v>2346</v>
      </c>
      <c r="B898" t="s">
        <v>2347</v>
      </c>
      <c r="C898" s="328"/>
      <c r="D898" s="328" t="str">
        <f t="shared" ref="D898:D961" si="18">_xlfn.CONCAT("NACE ", A898)</f>
        <v>NACE P - 84.11 General public administration activities</v>
      </c>
      <c r="K898" t="s">
        <v>5539</v>
      </c>
    </row>
    <row r="899" spans="1:11" x14ac:dyDescent="0.35">
      <c r="A899" s="328" t="s">
        <v>2348</v>
      </c>
      <c r="B899" t="s">
        <v>2349</v>
      </c>
      <c r="C899" s="328"/>
      <c r="D899" s="328" t="str">
        <f t="shared" si="18"/>
        <v>NACE P - 84.12 Regulation of health care, education, cultural services and other social services</v>
      </c>
      <c r="K899" t="s">
        <v>5540</v>
      </c>
    </row>
    <row r="900" spans="1:11" x14ac:dyDescent="0.35">
      <c r="A900" s="328" t="s">
        <v>2350</v>
      </c>
      <c r="B900" t="s">
        <v>2351</v>
      </c>
      <c r="C900" s="328"/>
      <c r="D900" s="328" t="str">
        <f t="shared" si="18"/>
        <v>NACE P - 84.13 Regulation of and contribution to more efficient operation of businesses</v>
      </c>
      <c r="K900" t="s">
        <v>5541</v>
      </c>
    </row>
    <row r="901" spans="1:11" x14ac:dyDescent="0.35">
      <c r="A901" s="327" t="s">
        <v>2352</v>
      </c>
      <c r="B901" t="s">
        <v>2353</v>
      </c>
      <c r="C901" s="328"/>
      <c r="D901" s="327" t="str">
        <f t="shared" si="18"/>
        <v>NACE P - 84.2 Provision of services to the community as a whole</v>
      </c>
      <c r="K901" t="s">
        <v>5542</v>
      </c>
    </row>
    <row r="902" spans="1:11" x14ac:dyDescent="0.35">
      <c r="A902" s="328" t="s">
        <v>2354</v>
      </c>
      <c r="B902" t="s">
        <v>2355</v>
      </c>
      <c r="C902" s="328"/>
      <c r="D902" s="328" t="str">
        <f t="shared" si="18"/>
        <v>NACE P - 84.21 Foreign affairs</v>
      </c>
      <c r="K902" t="s">
        <v>5543</v>
      </c>
    </row>
    <row r="903" spans="1:11" x14ac:dyDescent="0.35">
      <c r="A903" s="328" t="s">
        <v>2356</v>
      </c>
      <c r="B903" t="s">
        <v>2357</v>
      </c>
      <c r="C903" s="328"/>
      <c r="D903" s="328" t="str">
        <f t="shared" si="18"/>
        <v>NACE P - 84.22 Defence activities</v>
      </c>
      <c r="K903" t="s">
        <v>5544</v>
      </c>
    </row>
    <row r="904" spans="1:11" x14ac:dyDescent="0.35">
      <c r="A904" s="328" t="s">
        <v>2358</v>
      </c>
      <c r="B904" t="s">
        <v>2359</v>
      </c>
      <c r="C904" s="328"/>
      <c r="D904" s="328" t="str">
        <f t="shared" si="18"/>
        <v>NACE P - 84.23 Justice and judicial activities</v>
      </c>
      <c r="K904" t="s">
        <v>5545</v>
      </c>
    </row>
    <row r="905" spans="1:11" x14ac:dyDescent="0.35">
      <c r="A905" s="328" t="s">
        <v>2360</v>
      </c>
      <c r="B905" t="s">
        <v>2361</v>
      </c>
      <c r="C905" s="328"/>
      <c r="D905" s="328" t="str">
        <f t="shared" si="18"/>
        <v>NACE P - 84.24 Public order and safety activities</v>
      </c>
      <c r="K905" t="s">
        <v>5546</v>
      </c>
    </row>
    <row r="906" spans="1:11" x14ac:dyDescent="0.35">
      <c r="A906" s="328" t="s">
        <v>2362</v>
      </c>
      <c r="B906" t="s">
        <v>2363</v>
      </c>
      <c r="C906" s="328"/>
      <c r="D906" s="328" t="str">
        <f t="shared" si="18"/>
        <v>NACE P - 84.25 Fire service activities</v>
      </c>
      <c r="K906" t="s">
        <v>5547</v>
      </c>
    </row>
    <row r="907" spans="1:11" x14ac:dyDescent="0.35">
      <c r="A907" s="327" t="s">
        <v>2364</v>
      </c>
      <c r="B907" t="s">
        <v>2365</v>
      </c>
      <c r="C907" s="328"/>
      <c r="D907" s="327" t="str">
        <f t="shared" si="18"/>
        <v>NACE P - 84.3 Compulsory social security activities</v>
      </c>
      <c r="K907" t="s">
        <v>5548</v>
      </c>
    </row>
    <row r="908" spans="1:11" x14ac:dyDescent="0.35">
      <c r="A908" s="328" t="s">
        <v>2366</v>
      </c>
      <c r="B908" t="s">
        <v>2367</v>
      </c>
      <c r="C908" s="328"/>
      <c r="D908" s="328" t="str">
        <f t="shared" si="18"/>
        <v>NACE P - 84.30 Compulsory social security activities</v>
      </c>
      <c r="K908" t="s">
        <v>5549</v>
      </c>
    </row>
    <row r="909" spans="1:11" x14ac:dyDescent="0.35">
      <c r="A909" s="325" t="s">
        <v>2368</v>
      </c>
      <c r="B909" t="s">
        <v>2369</v>
      </c>
      <c r="C909" s="328"/>
      <c r="D909" s="325" t="str">
        <f t="shared" si="18"/>
        <v>NACE Q - EDUCATION</v>
      </c>
      <c r="K909" t="s">
        <v>5550</v>
      </c>
    </row>
    <row r="910" spans="1:11" x14ac:dyDescent="0.35">
      <c r="A910" s="324" t="s">
        <v>2370</v>
      </c>
      <c r="B910" t="s">
        <v>2371</v>
      </c>
      <c r="C910" s="328"/>
      <c r="D910" s="324" t="str">
        <f t="shared" si="18"/>
        <v>NACE Q - 85 Education</v>
      </c>
      <c r="K910" t="s">
        <v>5551</v>
      </c>
    </row>
    <row r="911" spans="1:11" x14ac:dyDescent="0.35">
      <c r="A911" s="327" t="s">
        <v>2372</v>
      </c>
      <c r="B911" t="s">
        <v>2373</v>
      </c>
      <c r="C911" s="328"/>
      <c r="D911" s="327" t="str">
        <f t="shared" si="18"/>
        <v>NACE Q - 85.1 Pre-primary education</v>
      </c>
      <c r="K911" t="s">
        <v>5552</v>
      </c>
    </row>
    <row r="912" spans="1:11" x14ac:dyDescent="0.35">
      <c r="A912" s="328" t="s">
        <v>2374</v>
      </c>
      <c r="B912" t="s">
        <v>2375</v>
      </c>
      <c r="C912" s="328"/>
      <c r="D912" s="328" t="str">
        <f t="shared" si="18"/>
        <v>NACE Q - 85.10 Pre-primary education</v>
      </c>
      <c r="K912" t="s">
        <v>5553</v>
      </c>
    </row>
    <row r="913" spans="1:11" x14ac:dyDescent="0.35">
      <c r="A913" s="327" t="s">
        <v>2376</v>
      </c>
      <c r="B913" t="s">
        <v>2377</v>
      </c>
      <c r="C913" s="328"/>
      <c r="D913" s="327" t="str">
        <f t="shared" si="18"/>
        <v>NACE Q - 85.2 Primary education</v>
      </c>
      <c r="K913" t="s">
        <v>5554</v>
      </c>
    </row>
    <row r="914" spans="1:11" x14ac:dyDescent="0.35">
      <c r="A914" s="328" t="s">
        <v>2378</v>
      </c>
      <c r="B914" t="s">
        <v>2379</v>
      </c>
      <c r="C914" s="328"/>
      <c r="D914" s="328" t="str">
        <f t="shared" si="18"/>
        <v>NACE Q - 85.20 Primary education</v>
      </c>
      <c r="K914" t="s">
        <v>5555</v>
      </c>
    </row>
    <row r="915" spans="1:11" x14ac:dyDescent="0.35">
      <c r="A915" s="327" t="s">
        <v>2380</v>
      </c>
      <c r="B915" t="s">
        <v>2381</v>
      </c>
      <c r="C915" s="328"/>
      <c r="D915" s="327" t="str">
        <f t="shared" si="18"/>
        <v>NACE Q - 85.3 Secondary and post-secondary non-tertiary education</v>
      </c>
      <c r="K915" t="s">
        <v>5556</v>
      </c>
    </row>
    <row r="916" spans="1:11" x14ac:dyDescent="0.35">
      <c r="A916" s="328" t="s">
        <v>2382</v>
      </c>
      <c r="B916" t="s">
        <v>2383</v>
      </c>
      <c r="C916" s="328"/>
      <c r="D916" s="328" t="str">
        <f t="shared" si="18"/>
        <v>NACE Q - 85.31 General secondary education</v>
      </c>
      <c r="K916" t="s">
        <v>5557</v>
      </c>
    </row>
    <row r="917" spans="1:11" x14ac:dyDescent="0.35">
      <c r="A917" s="328" t="s">
        <v>2384</v>
      </c>
      <c r="B917" t="s">
        <v>2385</v>
      </c>
      <c r="C917" s="328"/>
      <c r="D917" s="328" t="str">
        <f t="shared" si="18"/>
        <v>NACE Q - 85.32 Vocational secondary education</v>
      </c>
      <c r="K917" t="s">
        <v>5558</v>
      </c>
    </row>
    <row r="918" spans="1:11" x14ac:dyDescent="0.35">
      <c r="A918" s="328" t="s">
        <v>2386</v>
      </c>
      <c r="B918" t="s">
        <v>2387</v>
      </c>
      <c r="C918" s="328"/>
      <c r="D918" s="328" t="str">
        <f t="shared" si="18"/>
        <v>NACE Q - 85.33 Post-secondary non-tertiary education</v>
      </c>
      <c r="K918" t="s">
        <v>5559</v>
      </c>
    </row>
    <row r="919" spans="1:11" x14ac:dyDescent="0.35">
      <c r="A919" s="327" t="s">
        <v>2388</v>
      </c>
      <c r="B919" t="s">
        <v>2389</v>
      </c>
      <c r="C919" s="328"/>
      <c r="D919" s="327" t="str">
        <f t="shared" si="18"/>
        <v>NACE Q - 85.4 Tertiary education</v>
      </c>
      <c r="K919" t="s">
        <v>5560</v>
      </c>
    </row>
    <row r="920" spans="1:11" x14ac:dyDescent="0.35">
      <c r="A920" s="328" t="s">
        <v>2390</v>
      </c>
      <c r="B920" t="s">
        <v>2391</v>
      </c>
      <c r="C920" s="328"/>
      <c r="D920" s="328" t="str">
        <f t="shared" si="18"/>
        <v>NACE Q - 85.40 Tertiary education</v>
      </c>
      <c r="K920" t="s">
        <v>5561</v>
      </c>
    </row>
    <row r="921" spans="1:11" x14ac:dyDescent="0.35">
      <c r="A921" s="327" t="s">
        <v>2392</v>
      </c>
      <c r="B921" t="s">
        <v>2393</v>
      </c>
      <c r="C921" s="328"/>
      <c r="D921" s="327" t="str">
        <f t="shared" si="18"/>
        <v>NACE Q - 85.5 Other education</v>
      </c>
      <c r="K921" t="s">
        <v>5562</v>
      </c>
    </row>
    <row r="922" spans="1:11" x14ac:dyDescent="0.35">
      <c r="A922" s="328" t="s">
        <v>2394</v>
      </c>
      <c r="B922" t="s">
        <v>2395</v>
      </c>
      <c r="C922" s="328"/>
      <c r="D922" s="328" t="str">
        <f t="shared" si="18"/>
        <v>NACE Q - 85.51 Sports and recreation education</v>
      </c>
      <c r="K922" t="s">
        <v>5563</v>
      </c>
    </row>
    <row r="923" spans="1:11" x14ac:dyDescent="0.35">
      <c r="A923" s="328" t="s">
        <v>2396</v>
      </c>
      <c r="B923" t="s">
        <v>2397</v>
      </c>
      <c r="C923" s="328"/>
      <c r="D923" s="328" t="str">
        <f t="shared" si="18"/>
        <v>NACE Q - 85.52 Cultural education</v>
      </c>
      <c r="K923" t="s">
        <v>5564</v>
      </c>
    </row>
    <row r="924" spans="1:11" x14ac:dyDescent="0.35">
      <c r="A924" s="328" t="s">
        <v>2398</v>
      </c>
      <c r="B924" t="s">
        <v>2399</v>
      </c>
      <c r="C924" s="328"/>
      <c r="D924" s="328" t="str">
        <f t="shared" si="18"/>
        <v>NACE Q - 85.53 Driving school activities</v>
      </c>
      <c r="K924" t="s">
        <v>5565</v>
      </c>
    </row>
    <row r="925" spans="1:11" x14ac:dyDescent="0.35">
      <c r="A925" s="328" t="s">
        <v>2400</v>
      </c>
      <c r="B925" t="s">
        <v>2401</v>
      </c>
      <c r="C925" s="328"/>
      <c r="D925" s="328" t="str">
        <f t="shared" si="18"/>
        <v>NACE Q - 85.59 Other education n.e.c.</v>
      </c>
      <c r="K925" t="s">
        <v>5566</v>
      </c>
    </row>
    <row r="926" spans="1:11" x14ac:dyDescent="0.35">
      <c r="A926" s="327" t="s">
        <v>2402</v>
      </c>
      <c r="B926" t="s">
        <v>2403</v>
      </c>
      <c r="C926" s="328"/>
      <c r="D926" s="327" t="str">
        <f t="shared" si="18"/>
        <v>NACE Q - 85.6 Educational support activities</v>
      </c>
      <c r="K926" t="s">
        <v>5567</v>
      </c>
    </row>
    <row r="927" spans="1:11" x14ac:dyDescent="0.35">
      <c r="A927" s="328" t="s">
        <v>2404</v>
      </c>
      <c r="B927" t="s">
        <v>2405</v>
      </c>
      <c r="C927" s="328"/>
      <c r="D927" s="328" t="str">
        <f t="shared" si="18"/>
        <v>NACE Q - 85.61 Intermediation service activities for courses and tutors</v>
      </c>
      <c r="K927" t="s">
        <v>5568</v>
      </c>
    </row>
    <row r="928" spans="1:11" x14ac:dyDescent="0.35">
      <c r="A928" s="328" t="s">
        <v>2406</v>
      </c>
      <c r="B928" t="s">
        <v>2407</v>
      </c>
      <c r="C928" s="328"/>
      <c r="D928" s="328" t="str">
        <f t="shared" si="18"/>
        <v>NACE Q - 85.69 Educational support activities n.e.c.</v>
      </c>
      <c r="K928" t="s">
        <v>5569</v>
      </c>
    </row>
    <row r="929" spans="1:11" x14ac:dyDescent="0.35">
      <c r="A929" s="325" t="s">
        <v>2408</v>
      </c>
      <c r="B929" t="s">
        <v>2409</v>
      </c>
      <c r="C929" s="328"/>
      <c r="D929" s="325" t="str">
        <f t="shared" si="18"/>
        <v>NACE R - HUMAN HEALTH AND SOCIAL WORK ACTIVITIES</v>
      </c>
      <c r="K929" t="s">
        <v>5570</v>
      </c>
    </row>
    <row r="930" spans="1:11" x14ac:dyDescent="0.35">
      <c r="A930" s="324" t="s">
        <v>2410</v>
      </c>
      <c r="B930" t="s">
        <v>2411</v>
      </c>
      <c r="C930" s="328"/>
      <c r="D930" s="324" t="str">
        <f t="shared" si="18"/>
        <v>NACE R - 86 Human health activities</v>
      </c>
      <c r="K930" t="s">
        <v>5571</v>
      </c>
    </row>
    <row r="931" spans="1:11" x14ac:dyDescent="0.35">
      <c r="A931" s="327" t="s">
        <v>2412</v>
      </c>
      <c r="B931" t="s">
        <v>2413</v>
      </c>
      <c r="C931" s="328"/>
      <c r="D931" s="327" t="str">
        <f t="shared" si="18"/>
        <v>NACE R - 86.1 Hospital activities</v>
      </c>
      <c r="K931" t="s">
        <v>4660</v>
      </c>
    </row>
    <row r="932" spans="1:11" x14ac:dyDescent="0.35">
      <c r="A932" s="328" t="s">
        <v>2414</v>
      </c>
      <c r="B932" t="s">
        <v>2415</v>
      </c>
      <c r="C932" s="328"/>
      <c r="D932" s="328" t="str">
        <f t="shared" si="18"/>
        <v>NACE R - 86.10 Hospital activities</v>
      </c>
      <c r="K932" t="s">
        <v>5572</v>
      </c>
    </row>
    <row r="933" spans="1:11" x14ac:dyDescent="0.35">
      <c r="A933" s="327" t="s">
        <v>2416</v>
      </c>
      <c r="B933" t="s">
        <v>2417</v>
      </c>
      <c r="C933" s="328"/>
      <c r="D933" s="327" t="str">
        <f t="shared" si="18"/>
        <v>NACE R - 86.2 Medical and dental practice activities</v>
      </c>
      <c r="K933" t="s">
        <v>5573</v>
      </c>
    </row>
    <row r="934" spans="1:11" x14ac:dyDescent="0.35">
      <c r="A934" s="328" t="s">
        <v>2418</v>
      </c>
      <c r="B934" t="s">
        <v>2419</v>
      </c>
      <c r="C934" s="328"/>
      <c r="D934" s="328" t="str">
        <f t="shared" si="18"/>
        <v>NACE R - 86.21 General medical practice activities</v>
      </c>
      <c r="K934" t="s">
        <v>5574</v>
      </c>
    </row>
    <row r="935" spans="1:11" x14ac:dyDescent="0.35">
      <c r="A935" s="328" t="s">
        <v>2420</v>
      </c>
      <c r="B935" t="s">
        <v>2421</v>
      </c>
      <c r="C935" s="328"/>
      <c r="D935" s="328" t="str">
        <f t="shared" si="18"/>
        <v>NACE R - 86.22 Medical specialists activities</v>
      </c>
      <c r="K935" t="s">
        <v>5575</v>
      </c>
    </row>
    <row r="936" spans="1:11" x14ac:dyDescent="0.35">
      <c r="A936" s="328" t="s">
        <v>2422</v>
      </c>
      <c r="B936" t="s">
        <v>2423</v>
      </c>
      <c r="C936" s="328"/>
      <c r="D936" s="328" t="str">
        <f t="shared" si="18"/>
        <v>NACE R - 86.23 Dental practice care activities</v>
      </c>
      <c r="K936" t="s">
        <v>5576</v>
      </c>
    </row>
    <row r="937" spans="1:11" x14ac:dyDescent="0.35">
      <c r="A937" s="327" t="s">
        <v>2424</v>
      </c>
      <c r="B937" t="s">
        <v>2425</v>
      </c>
      <c r="C937" s="328"/>
      <c r="D937" s="327" t="str">
        <f t="shared" si="18"/>
        <v>NACE R - 86.9 Other human health activities</v>
      </c>
      <c r="K937" t="s">
        <v>5577</v>
      </c>
    </row>
    <row r="938" spans="1:11" x14ac:dyDescent="0.35">
      <c r="A938" s="328" t="s">
        <v>2426</v>
      </c>
      <c r="B938" t="s">
        <v>2427</v>
      </c>
      <c r="C938" s="328"/>
      <c r="D938" s="328" t="str">
        <f t="shared" si="18"/>
        <v>NACE R - 86.91 Diagnostic imaging services and medical laboratory activities</v>
      </c>
      <c r="K938" t="s">
        <v>5578</v>
      </c>
    </row>
    <row r="939" spans="1:11" x14ac:dyDescent="0.35">
      <c r="A939" s="328" t="s">
        <v>2428</v>
      </c>
      <c r="B939" t="s">
        <v>2429</v>
      </c>
      <c r="C939" s="328"/>
      <c r="D939" s="328" t="str">
        <f t="shared" si="18"/>
        <v>NACE R - 86.92 Patient transportation by ambulance</v>
      </c>
      <c r="K939" t="s">
        <v>5579</v>
      </c>
    </row>
    <row r="940" spans="1:11" x14ac:dyDescent="0.35">
      <c r="A940" s="328" t="s">
        <v>2430</v>
      </c>
      <c r="B940" t="s">
        <v>2431</v>
      </c>
      <c r="C940" s="328"/>
      <c r="D940" s="328" t="str">
        <f t="shared" si="18"/>
        <v>NACE R - 86.93 Activities of psychologists and psychotherapists, except medical doctors</v>
      </c>
      <c r="K940" t="s">
        <v>5580</v>
      </c>
    </row>
    <row r="941" spans="1:11" x14ac:dyDescent="0.35">
      <c r="A941" s="328" t="s">
        <v>2432</v>
      </c>
      <c r="B941" t="s">
        <v>2433</v>
      </c>
      <c r="C941" s="328"/>
      <c r="D941" s="328" t="str">
        <f t="shared" si="18"/>
        <v>NACE R - 86.94 Nursing and midwifery activities</v>
      </c>
      <c r="K941" t="s">
        <v>5581</v>
      </c>
    </row>
    <row r="942" spans="1:11" x14ac:dyDescent="0.35">
      <c r="A942" s="328" t="s">
        <v>2434</v>
      </c>
      <c r="B942" t="s">
        <v>2435</v>
      </c>
      <c r="C942" s="328"/>
      <c r="D942" s="328" t="str">
        <f t="shared" si="18"/>
        <v>NACE R - 86.95 Physiotherapy activities</v>
      </c>
      <c r="K942" t="s">
        <v>5582</v>
      </c>
    </row>
    <row r="943" spans="1:11" x14ac:dyDescent="0.35">
      <c r="A943" s="328" t="s">
        <v>2436</v>
      </c>
      <c r="B943" t="s">
        <v>2437</v>
      </c>
      <c r="C943" s="328"/>
      <c r="D943" s="328" t="str">
        <f t="shared" si="18"/>
        <v>NACE R - 86.96 Traditional, complementary and alternative medicine activities</v>
      </c>
      <c r="K943" t="s">
        <v>5583</v>
      </c>
    </row>
    <row r="944" spans="1:11" x14ac:dyDescent="0.35">
      <c r="A944" s="328" t="s">
        <v>2438</v>
      </c>
      <c r="B944" t="s">
        <v>2439</v>
      </c>
      <c r="C944" s="328"/>
      <c r="D944" s="328" t="str">
        <f t="shared" si="18"/>
        <v>NACE R - 86.97 Intermediation service activities for medical, dental and other human health services</v>
      </c>
      <c r="K944" t="s">
        <v>5584</v>
      </c>
    </row>
    <row r="945" spans="1:11" x14ac:dyDescent="0.35">
      <c r="A945" s="328" t="s">
        <v>2440</v>
      </c>
      <c r="B945" t="s">
        <v>2441</v>
      </c>
      <c r="C945" s="328"/>
      <c r="D945" s="328" t="str">
        <f t="shared" si="18"/>
        <v>NACE R - 86.99 Other human health activities n.e.c.</v>
      </c>
      <c r="K945" t="s">
        <v>5585</v>
      </c>
    </row>
    <row r="946" spans="1:11" x14ac:dyDescent="0.35">
      <c r="A946" s="324" t="s">
        <v>2442</v>
      </c>
      <c r="B946" t="s">
        <v>2443</v>
      </c>
      <c r="C946" s="328"/>
      <c r="D946" s="324" t="str">
        <f t="shared" si="18"/>
        <v>NACE R - 87 Residential care activities</v>
      </c>
      <c r="K946" t="s">
        <v>5586</v>
      </c>
    </row>
    <row r="947" spans="1:11" x14ac:dyDescent="0.35">
      <c r="A947" s="327" t="s">
        <v>2444</v>
      </c>
      <c r="B947" t="s">
        <v>2445</v>
      </c>
      <c r="C947" s="328"/>
      <c r="D947" s="327" t="str">
        <f t="shared" si="18"/>
        <v>NACE R - 87.1 Residential nursing care activities</v>
      </c>
      <c r="K947" t="s">
        <v>5587</v>
      </c>
    </row>
    <row r="948" spans="1:11" x14ac:dyDescent="0.35">
      <c r="A948" s="328" t="s">
        <v>2446</v>
      </c>
      <c r="B948" t="s">
        <v>2447</v>
      </c>
      <c r="C948" s="328"/>
      <c r="D948" s="328" t="str">
        <f t="shared" si="18"/>
        <v>NACE R - 87.10 Residential nursing care activities</v>
      </c>
      <c r="K948" t="s">
        <v>5588</v>
      </c>
    </row>
    <row r="949" spans="1:11" x14ac:dyDescent="0.35">
      <c r="A949" s="327" t="s">
        <v>2448</v>
      </c>
      <c r="B949" t="s">
        <v>2449</v>
      </c>
      <c r="C949" s="328"/>
      <c r="D949" s="327" t="str">
        <f t="shared" si="18"/>
        <v>NACE R - 87.2 Residential care activities for persons living with or having a diagnosis of a mental illness or substance abuse</v>
      </c>
      <c r="K949" t="s">
        <v>5589</v>
      </c>
    </row>
    <row r="950" spans="1:11" x14ac:dyDescent="0.35">
      <c r="A950" s="328" t="s">
        <v>2450</v>
      </c>
      <c r="B950" t="s">
        <v>2451</v>
      </c>
      <c r="C950" s="328"/>
      <c r="D950" s="328" t="str">
        <f t="shared" si="18"/>
        <v>NACE R - 87.20 Residential care activities for persons living with or having a diagnosis of a mental illness or substance abuse</v>
      </c>
      <c r="K950" t="s">
        <v>5590</v>
      </c>
    </row>
    <row r="951" spans="1:11" x14ac:dyDescent="0.35">
      <c r="A951" s="327" t="s">
        <v>2452</v>
      </c>
      <c r="B951" t="s">
        <v>2453</v>
      </c>
      <c r="C951" s="328"/>
      <c r="D951" s="327" t="str">
        <f t="shared" si="18"/>
        <v>NACE R - 87.3 Residential care activities for older persons or persons with physical disabilities</v>
      </c>
      <c r="K951" t="s">
        <v>5591</v>
      </c>
    </row>
    <row r="952" spans="1:11" x14ac:dyDescent="0.35">
      <c r="A952" s="328" t="s">
        <v>2454</v>
      </c>
      <c r="B952" t="s">
        <v>2455</v>
      </c>
      <c r="C952" s="328"/>
      <c r="D952" s="328" t="str">
        <f t="shared" si="18"/>
        <v>NACE R - 87.30 Residential care activities for older persons or persons with physical disabilities</v>
      </c>
      <c r="K952" t="s">
        <v>5592</v>
      </c>
    </row>
    <row r="953" spans="1:11" x14ac:dyDescent="0.35">
      <c r="A953" s="327" t="s">
        <v>2456</v>
      </c>
      <c r="B953" t="s">
        <v>2457</v>
      </c>
      <c r="C953" s="328"/>
      <c r="D953" s="327" t="str">
        <f t="shared" si="18"/>
        <v>NACE R - 87.9 Other residential care activities</v>
      </c>
      <c r="K953" t="s">
        <v>5593</v>
      </c>
    </row>
    <row r="954" spans="1:11" x14ac:dyDescent="0.35">
      <c r="A954" s="328" t="s">
        <v>2458</v>
      </c>
      <c r="B954" t="s">
        <v>2459</v>
      </c>
      <c r="C954" s="328"/>
      <c r="D954" s="328" t="str">
        <f t="shared" si="18"/>
        <v>NACE R - 87.91 Intermediation service activities for residential care activities</v>
      </c>
      <c r="K954" t="s">
        <v>5594</v>
      </c>
    </row>
    <row r="955" spans="1:11" x14ac:dyDescent="0.35">
      <c r="A955" s="328" t="s">
        <v>2460</v>
      </c>
      <c r="B955" t="s">
        <v>2461</v>
      </c>
      <c r="C955" s="328"/>
      <c r="D955" s="328" t="str">
        <f t="shared" si="18"/>
        <v>NACE R - 87.99 Other residential care activities n.e.c.</v>
      </c>
      <c r="K955" t="s">
        <v>5595</v>
      </c>
    </row>
    <row r="956" spans="1:11" x14ac:dyDescent="0.35">
      <c r="A956" s="324" t="s">
        <v>2462</v>
      </c>
      <c r="B956" t="s">
        <v>2463</v>
      </c>
      <c r="C956" s="328"/>
      <c r="D956" s="324" t="str">
        <f t="shared" si="18"/>
        <v>NACE R - 88 Social work activities without accommodation</v>
      </c>
      <c r="K956" t="s">
        <v>5596</v>
      </c>
    </row>
    <row r="957" spans="1:11" x14ac:dyDescent="0.35">
      <c r="A957" s="327" t="s">
        <v>2464</v>
      </c>
      <c r="B957" t="s">
        <v>2465</v>
      </c>
      <c r="C957" s="328"/>
      <c r="D957" s="327" t="str">
        <f t="shared" si="18"/>
        <v>NACE R - 88.1 Social work activities without accommodation for older persons or persons with disabilities</v>
      </c>
      <c r="K957" t="s">
        <v>5597</v>
      </c>
    </row>
    <row r="958" spans="1:11" x14ac:dyDescent="0.35">
      <c r="A958" s="328" t="s">
        <v>2466</v>
      </c>
      <c r="B958" t="s">
        <v>2467</v>
      </c>
      <c r="C958" s="328"/>
      <c r="D958" s="328" t="str">
        <f t="shared" si="18"/>
        <v>NACE R - 88.10 Social work activities without accommodation for older persons or persons with disabilities</v>
      </c>
      <c r="K958" t="s">
        <v>5598</v>
      </c>
    </row>
    <row r="959" spans="1:11" x14ac:dyDescent="0.35">
      <c r="A959" s="327" t="s">
        <v>2468</v>
      </c>
      <c r="B959" t="s">
        <v>2469</v>
      </c>
      <c r="C959" s="328"/>
      <c r="D959" s="327" t="str">
        <f t="shared" si="18"/>
        <v>NACE R - 88.9 Other social work activities without accommodation</v>
      </c>
      <c r="K959" t="s">
        <v>5599</v>
      </c>
    </row>
    <row r="960" spans="1:11" x14ac:dyDescent="0.35">
      <c r="A960" s="328" t="s">
        <v>2470</v>
      </c>
      <c r="B960" t="s">
        <v>2471</v>
      </c>
      <c r="C960" s="328"/>
      <c r="D960" s="328" t="str">
        <f t="shared" si="18"/>
        <v>NACE R - 88.91 Child day-care activities</v>
      </c>
      <c r="K960" t="s">
        <v>5600</v>
      </c>
    </row>
    <row r="961" spans="1:11" x14ac:dyDescent="0.35">
      <c r="A961" s="328" t="s">
        <v>2472</v>
      </c>
      <c r="B961" t="s">
        <v>2473</v>
      </c>
      <c r="C961" s="328"/>
      <c r="D961" s="328" t="str">
        <f t="shared" si="18"/>
        <v>NACE R - 88.99 Other social work activities without accommodation n.e.c.</v>
      </c>
      <c r="K961" t="s">
        <v>5601</v>
      </c>
    </row>
    <row r="962" spans="1:11" x14ac:dyDescent="0.35">
      <c r="A962" s="325" t="s">
        <v>2474</v>
      </c>
      <c r="B962" t="s">
        <v>2475</v>
      </c>
      <c r="C962" s="328"/>
      <c r="D962" s="325" t="str">
        <f t="shared" ref="D962:D1025" si="19">_xlfn.CONCAT("NACE ", A962)</f>
        <v>NACE S - ARTS, SPORTS AND RECREATION</v>
      </c>
      <c r="K962" t="s">
        <v>5602</v>
      </c>
    </row>
    <row r="963" spans="1:11" x14ac:dyDescent="0.35">
      <c r="A963" s="324" t="s">
        <v>2476</v>
      </c>
      <c r="B963" t="s">
        <v>2477</v>
      </c>
      <c r="C963" s="328"/>
      <c r="D963" s="324" t="str">
        <f t="shared" si="19"/>
        <v>NACE S - 90 Arts creation and performing arts activities</v>
      </c>
      <c r="K963" t="s">
        <v>5603</v>
      </c>
    </row>
    <row r="964" spans="1:11" x14ac:dyDescent="0.35">
      <c r="A964" s="327" t="s">
        <v>2478</v>
      </c>
      <c r="B964" t="s">
        <v>2479</v>
      </c>
      <c r="C964" s="328"/>
      <c r="D964" s="327" t="str">
        <f t="shared" si="19"/>
        <v>NACE S - 90.1 Arts creation activities</v>
      </c>
      <c r="K964" t="s">
        <v>5604</v>
      </c>
    </row>
    <row r="965" spans="1:11" x14ac:dyDescent="0.35">
      <c r="A965" s="328" t="s">
        <v>2480</v>
      </c>
      <c r="B965" t="s">
        <v>2481</v>
      </c>
      <c r="C965" s="328"/>
      <c r="D965" s="328" t="str">
        <f t="shared" si="19"/>
        <v>NACE S - 90.11 Literary creation and musical composition activities</v>
      </c>
      <c r="K965" t="s">
        <v>5605</v>
      </c>
    </row>
    <row r="966" spans="1:11" x14ac:dyDescent="0.35">
      <c r="A966" s="328" t="s">
        <v>2482</v>
      </c>
      <c r="B966" t="s">
        <v>2483</v>
      </c>
      <c r="C966" s="328"/>
      <c r="D966" s="328" t="str">
        <f t="shared" si="19"/>
        <v>NACE S - 90.12 Visual arts creation activities</v>
      </c>
      <c r="K966" t="s">
        <v>5606</v>
      </c>
    </row>
    <row r="967" spans="1:11" x14ac:dyDescent="0.35">
      <c r="A967" s="328" t="s">
        <v>2484</v>
      </c>
      <c r="B967" t="s">
        <v>2485</v>
      </c>
      <c r="C967" s="328"/>
      <c r="D967" s="328" t="str">
        <f t="shared" si="19"/>
        <v>NACE S - 90.13 Other arts creation activities</v>
      </c>
      <c r="K967" t="s">
        <v>5607</v>
      </c>
    </row>
    <row r="968" spans="1:11" x14ac:dyDescent="0.35">
      <c r="A968" s="327" t="s">
        <v>2486</v>
      </c>
      <c r="B968" t="s">
        <v>2487</v>
      </c>
      <c r="C968" s="328"/>
      <c r="D968" s="327" t="str">
        <f t="shared" si="19"/>
        <v>NACE S - 90.2 Activities of performing arts</v>
      </c>
      <c r="K968" t="s">
        <v>5608</v>
      </c>
    </row>
    <row r="969" spans="1:11" x14ac:dyDescent="0.35">
      <c r="A969" s="328" t="s">
        <v>2488</v>
      </c>
      <c r="B969" t="s">
        <v>2489</v>
      </c>
      <c r="C969" s="328"/>
      <c r="D969" s="328" t="str">
        <f t="shared" si="19"/>
        <v>NACE S - 90.20 Activities of performing arts</v>
      </c>
      <c r="K969" t="s">
        <v>5609</v>
      </c>
    </row>
    <row r="970" spans="1:11" x14ac:dyDescent="0.35">
      <c r="A970" s="327" t="s">
        <v>2490</v>
      </c>
      <c r="B970" t="s">
        <v>2491</v>
      </c>
      <c r="C970" s="328"/>
      <c r="D970" s="327" t="str">
        <f t="shared" si="19"/>
        <v>NACE S - 90.3 Support activities to arts creation and performing arts</v>
      </c>
      <c r="K970" t="s">
        <v>5610</v>
      </c>
    </row>
    <row r="971" spans="1:11" x14ac:dyDescent="0.35">
      <c r="A971" s="328" t="s">
        <v>2492</v>
      </c>
      <c r="B971" t="s">
        <v>2493</v>
      </c>
      <c r="C971" s="328"/>
      <c r="D971" s="328" t="str">
        <f t="shared" si="19"/>
        <v>NACE S - 90.31 Operation of arts facilities and sites</v>
      </c>
      <c r="K971" t="s">
        <v>5611</v>
      </c>
    </row>
    <row r="972" spans="1:11" x14ac:dyDescent="0.35">
      <c r="A972" s="328" t="s">
        <v>2494</v>
      </c>
      <c r="B972" t="s">
        <v>2495</v>
      </c>
      <c r="C972" s="328"/>
      <c r="D972" s="328" t="str">
        <f t="shared" si="19"/>
        <v>NACE S - 90.39 Other support activities to arts and performing arts</v>
      </c>
      <c r="K972" t="s">
        <v>5612</v>
      </c>
    </row>
    <row r="973" spans="1:11" x14ac:dyDescent="0.35">
      <c r="A973" s="324" t="s">
        <v>2496</v>
      </c>
      <c r="B973" t="s">
        <v>2497</v>
      </c>
      <c r="C973" s="328"/>
      <c r="D973" s="324" t="str">
        <f t="shared" si="19"/>
        <v>NACE S - 91 Libraries, archives, museums and other cultural activities</v>
      </c>
      <c r="K973" t="s">
        <v>5613</v>
      </c>
    </row>
    <row r="974" spans="1:11" x14ac:dyDescent="0.35">
      <c r="A974" s="327" t="s">
        <v>2498</v>
      </c>
      <c r="B974" t="s">
        <v>2499</v>
      </c>
      <c r="C974" s="328"/>
      <c r="D974" s="327" t="str">
        <f t="shared" si="19"/>
        <v>NACE S - 91.1 Library and archive activities</v>
      </c>
      <c r="K974" t="s">
        <v>5614</v>
      </c>
    </row>
    <row r="975" spans="1:11" x14ac:dyDescent="0.35">
      <c r="A975" s="328" t="s">
        <v>2500</v>
      </c>
      <c r="B975" t="s">
        <v>2501</v>
      </c>
      <c r="C975" s="328"/>
      <c r="D975" s="328" t="str">
        <f t="shared" si="19"/>
        <v>NACE S - 91.11 Library activities</v>
      </c>
    </row>
    <row r="976" spans="1:11" x14ac:dyDescent="0.35">
      <c r="A976" s="328" t="s">
        <v>2502</v>
      </c>
      <c r="B976" t="s">
        <v>2503</v>
      </c>
      <c r="C976" s="328"/>
      <c r="D976" s="328" t="str">
        <f t="shared" si="19"/>
        <v>NACE S - 91.12 Archive activities</v>
      </c>
    </row>
    <row r="977" spans="1:4" x14ac:dyDescent="0.35">
      <c r="A977" s="327" t="s">
        <v>2504</v>
      </c>
      <c r="B977" t="s">
        <v>2505</v>
      </c>
      <c r="C977" s="328"/>
      <c r="D977" s="327" t="str">
        <f t="shared" si="19"/>
        <v>NACE S - 91.2 Museum, collection, historical site and monument activities</v>
      </c>
    </row>
    <row r="978" spans="1:4" x14ac:dyDescent="0.35">
      <c r="A978" s="328" t="s">
        <v>2506</v>
      </c>
      <c r="B978" t="s">
        <v>2507</v>
      </c>
      <c r="C978" s="328"/>
      <c r="D978" s="328" t="str">
        <f t="shared" si="19"/>
        <v>NACE S - 91.21 Museum and collection activities</v>
      </c>
    </row>
    <row r="979" spans="1:4" x14ac:dyDescent="0.35">
      <c r="A979" s="328" t="s">
        <v>2508</v>
      </c>
      <c r="B979" t="s">
        <v>2509</v>
      </c>
      <c r="C979" s="328"/>
      <c r="D979" s="328" t="str">
        <f t="shared" si="19"/>
        <v>NACE S - 91.22 Historical site and monument activities</v>
      </c>
    </row>
    <row r="980" spans="1:4" x14ac:dyDescent="0.35">
      <c r="A980" s="327" t="s">
        <v>2510</v>
      </c>
      <c r="B980" t="s">
        <v>2511</v>
      </c>
      <c r="C980" s="328"/>
      <c r="D980" s="327" t="str">
        <f t="shared" si="19"/>
        <v>NACE S - 91.3 Conservation, restoration and other support activities for cultural heritage</v>
      </c>
    </row>
    <row r="981" spans="1:4" x14ac:dyDescent="0.35">
      <c r="A981" s="328" t="s">
        <v>2512</v>
      </c>
      <c r="B981" t="s">
        <v>2513</v>
      </c>
      <c r="C981" s="328"/>
      <c r="D981" s="328" t="str">
        <f t="shared" si="19"/>
        <v>NACE S - 91.30 Conservation, restoration and other support activities for cultural heritage</v>
      </c>
    </row>
    <row r="982" spans="1:4" x14ac:dyDescent="0.35">
      <c r="A982" s="327" t="s">
        <v>2514</v>
      </c>
      <c r="B982" t="s">
        <v>2515</v>
      </c>
      <c r="C982" s="328"/>
      <c r="D982" s="327" t="str">
        <f t="shared" si="19"/>
        <v>NACE S - 91.4 Botanical and zoological garden and nature reserve activities</v>
      </c>
    </row>
    <row r="983" spans="1:4" x14ac:dyDescent="0.35">
      <c r="A983" s="328" t="s">
        <v>2516</v>
      </c>
      <c r="B983" t="s">
        <v>2517</v>
      </c>
      <c r="C983" s="328"/>
      <c r="D983" s="328" t="str">
        <f t="shared" si="19"/>
        <v>NACE S - 91.41 Botanical and zoological garden activities</v>
      </c>
    </row>
    <row r="984" spans="1:4" x14ac:dyDescent="0.35">
      <c r="A984" s="328" t="s">
        <v>2518</v>
      </c>
      <c r="B984" t="s">
        <v>2519</v>
      </c>
      <c r="C984" s="328"/>
      <c r="D984" s="328" t="str">
        <f t="shared" si="19"/>
        <v>NACE S - 91.42 Nature reserve activities</v>
      </c>
    </row>
    <row r="985" spans="1:4" x14ac:dyDescent="0.35">
      <c r="A985" s="324" t="s">
        <v>2520</v>
      </c>
      <c r="B985" t="s">
        <v>2521</v>
      </c>
      <c r="C985" s="328"/>
      <c r="D985" s="324" t="str">
        <f t="shared" si="19"/>
        <v>NACE S - 92 Gambling and betting activities</v>
      </c>
    </row>
    <row r="986" spans="1:4" x14ac:dyDescent="0.35">
      <c r="A986" s="327" t="s">
        <v>2522</v>
      </c>
      <c r="B986" t="s">
        <v>2523</v>
      </c>
      <c r="C986" s="328"/>
      <c r="D986" s="327" t="str">
        <f t="shared" si="19"/>
        <v>NACE S - 92.0 Gambling and betting activities</v>
      </c>
    </row>
    <row r="987" spans="1:4" x14ac:dyDescent="0.35">
      <c r="A987" s="328" t="s">
        <v>2524</v>
      </c>
      <c r="B987" t="s">
        <v>2525</v>
      </c>
      <c r="C987" s="328"/>
      <c r="D987" s="328" t="str">
        <f t="shared" si="19"/>
        <v>NACE S - 92.00 Gambling and betting activities</v>
      </c>
    </row>
    <row r="988" spans="1:4" x14ac:dyDescent="0.35">
      <c r="A988" s="324" t="s">
        <v>2526</v>
      </c>
      <c r="B988" t="s">
        <v>2527</v>
      </c>
      <c r="C988" s="328"/>
      <c r="D988" s="324" t="str">
        <f t="shared" si="19"/>
        <v>NACE S - 93 Sports activities and amusement and recreation activities</v>
      </c>
    </row>
    <row r="989" spans="1:4" x14ac:dyDescent="0.35">
      <c r="A989" s="327" t="s">
        <v>2528</v>
      </c>
      <c r="B989" t="s">
        <v>2529</v>
      </c>
      <c r="C989" s="328"/>
      <c r="D989" s="327" t="str">
        <f t="shared" si="19"/>
        <v>NACE S - 93.1 Sports activities</v>
      </c>
    </row>
    <row r="990" spans="1:4" x14ac:dyDescent="0.35">
      <c r="A990" s="328" t="s">
        <v>2530</v>
      </c>
      <c r="B990" t="s">
        <v>2531</v>
      </c>
      <c r="C990" s="328"/>
      <c r="D990" s="328" t="str">
        <f t="shared" si="19"/>
        <v>NACE S - 93.11 Operation of sports facilities</v>
      </c>
    </row>
    <row r="991" spans="1:4" x14ac:dyDescent="0.35">
      <c r="A991" s="328" t="s">
        <v>2532</v>
      </c>
      <c r="B991" t="s">
        <v>2533</v>
      </c>
      <c r="C991" s="328"/>
      <c r="D991" s="328" t="str">
        <f t="shared" si="19"/>
        <v>NACE S - 93.12 Activities of sports clubs</v>
      </c>
    </row>
    <row r="992" spans="1:4" x14ac:dyDescent="0.35">
      <c r="A992" s="328" t="s">
        <v>2534</v>
      </c>
      <c r="B992" t="s">
        <v>2535</v>
      </c>
      <c r="C992" s="328"/>
      <c r="D992" s="328" t="str">
        <f t="shared" si="19"/>
        <v>NACE S - 93.13 Activities of fitness centres</v>
      </c>
    </row>
    <row r="993" spans="1:4" x14ac:dyDescent="0.35">
      <c r="A993" s="328" t="s">
        <v>2536</v>
      </c>
      <c r="B993" t="s">
        <v>2537</v>
      </c>
      <c r="C993" s="328"/>
      <c r="D993" s="328" t="str">
        <f t="shared" si="19"/>
        <v>NACE S - 93.19 Sports activities n.e.c.</v>
      </c>
    </row>
    <row r="994" spans="1:4" x14ac:dyDescent="0.35">
      <c r="A994" s="327" t="s">
        <v>2538</v>
      </c>
      <c r="B994" t="s">
        <v>2539</v>
      </c>
      <c r="C994" s="328"/>
      <c r="D994" s="327" t="str">
        <f t="shared" si="19"/>
        <v>NACE S - 93.2 Amusement and recreation activities</v>
      </c>
    </row>
    <row r="995" spans="1:4" x14ac:dyDescent="0.35">
      <c r="A995" s="328" t="s">
        <v>2540</v>
      </c>
      <c r="B995" t="s">
        <v>2541</v>
      </c>
      <c r="C995" s="328"/>
      <c r="D995" s="328" t="str">
        <f t="shared" si="19"/>
        <v>NACE S - 93.21 Activities of amusement parks and theme parks</v>
      </c>
    </row>
    <row r="996" spans="1:4" x14ac:dyDescent="0.35">
      <c r="A996" s="328" t="s">
        <v>2542</v>
      </c>
      <c r="B996" t="s">
        <v>2543</v>
      </c>
      <c r="C996" s="328"/>
      <c r="D996" s="328" t="str">
        <f t="shared" si="19"/>
        <v>NACE S - 93.29 Amusement and recreation activities n.e.c.</v>
      </c>
    </row>
    <row r="997" spans="1:4" x14ac:dyDescent="0.35">
      <c r="A997" s="325" t="s">
        <v>2544</v>
      </c>
      <c r="B997" t="s">
        <v>2545</v>
      </c>
      <c r="C997" s="328"/>
      <c r="D997" s="325" t="str">
        <f t="shared" si="19"/>
        <v>NACE T - OTHER SERVICE ACTIVITIES</v>
      </c>
    </row>
    <row r="998" spans="1:4" x14ac:dyDescent="0.35">
      <c r="A998" s="324" t="s">
        <v>2546</v>
      </c>
      <c r="B998" t="s">
        <v>2547</v>
      </c>
      <c r="C998" s="328"/>
      <c r="D998" s="324" t="str">
        <f t="shared" si="19"/>
        <v>NACE T - 94 Activities of membership organisations</v>
      </c>
    </row>
    <row r="999" spans="1:4" x14ac:dyDescent="0.35">
      <c r="A999" s="327" t="s">
        <v>2548</v>
      </c>
      <c r="B999" t="s">
        <v>2549</v>
      </c>
      <c r="C999" s="328"/>
      <c r="D999" s="327" t="str">
        <f t="shared" si="19"/>
        <v>NACE T - 94.1 Activities of business, employers and professional membership organisations</v>
      </c>
    </row>
    <row r="1000" spans="1:4" x14ac:dyDescent="0.35">
      <c r="A1000" s="328" t="s">
        <v>2550</v>
      </c>
      <c r="B1000" t="s">
        <v>2551</v>
      </c>
      <c r="C1000" s="328"/>
      <c r="D1000" s="328" t="str">
        <f t="shared" si="19"/>
        <v>NACE T - 94.11 Activities of business and employers membership organisations</v>
      </c>
    </row>
    <row r="1001" spans="1:4" x14ac:dyDescent="0.35">
      <c r="A1001" s="328" t="s">
        <v>2552</v>
      </c>
      <c r="B1001" t="s">
        <v>2553</v>
      </c>
      <c r="C1001" s="328"/>
      <c r="D1001" s="328" t="str">
        <f t="shared" si="19"/>
        <v>NACE T - 94.12 Activities of professional membership organisations</v>
      </c>
    </row>
    <row r="1002" spans="1:4" x14ac:dyDescent="0.35">
      <c r="A1002" s="327" t="s">
        <v>2554</v>
      </c>
      <c r="B1002" t="s">
        <v>2555</v>
      </c>
      <c r="C1002" s="328"/>
      <c r="D1002" s="327" t="str">
        <f t="shared" si="19"/>
        <v>NACE T - 94.2 Activities of trade unions</v>
      </c>
    </row>
    <row r="1003" spans="1:4" x14ac:dyDescent="0.35">
      <c r="A1003" s="328" t="s">
        <v>2556</v>
      </c>
      <c r="B1003" t="s">
        <v>2557</v>
      </c>
      <c r="C1003" s="328"/>
      <c r="D1003" s="328" t="str">
        <f t="shared" si="19"/>
        <v>NACE T - 94.20 Activities of trade unions</v>
      </c>
    </row>
    <row r="1004" spans="1:4" x14ac:dyDescent="0.35">
      <c r="A1004" s="327" t="s">
        <v>2558</v>
      </c>
      <c r="B1004" t="s">
        <v>2559</v>
      </c>
      <c r="C1004" s="328"/>
      <c r="D1004" s="327" t="str">
        <f t="shared" si="19"/>
        <v>NACE T - 94.9 Activities of other membership organisations</v>
      </c>
    </row>
    <row r="1005" spans="1:4" x14ac:dyDescent="0.35">
      <c r="A1005" s="328" t="s">
        <v>2560</v>
      </c>
      <c r="B1005" t="s">
        <v>2561</v>
      </c>
      <c r="C1005" s="328"/>
      <c r="D1005" s="328" t="str">
        <f t="shared" si="19"/>
        <v>NACE T - 94.91 Activities of religious organisations</v>
      </c>
    </row>
    <row r="1006" spans="1:4" x14ac:dyDescent="0.35">
      <c r="A1006" s="328" t="s">
        <v>2562</v>
      </c>
      <c r="B1006" t="s">
        <v>2563</v>
      </c>
      <c r="C1006" s="328"/>
      <c r="D1006" s="328" t="str">
        <f t="shared" si="19"/>
        <v>NACE T - 94.92 Activities of political organisations</v>
      </c>
    </row>
    <row r="1007" spans="1:4" x14ac:dyDescent="0.35">
      <c r="A1007" s="328" t="s">
        <v>2564</v>
      </c>
      <c r="B1007" t="s">
        <v>2565</v>
      </c>
      <c r="C1007" s="328"/>
      <c r="D1007" s="328" t="str">
        <f t="shared" si="19"/>
        <v>NACE T - 94.99 Activities of other membership organisations n.e.c.</v>
      </c>
    </row>
    <row r="1008" spans="1:4" x14ac:dyDescent="0.35">
      <c r="A1008" s="324" t="s">
        <v>2566</v>
      </c>
      <c r="B1008" t="s">
        <v>2567</v>
      </c>
      <c r="C1008" s="328"/>
      <c r="D1008" s="324" t="str">
        <f t="shared" si="19"/>
        <v>NACE T - 95 Repair and maintenance of computers, personal and household goods, and motor vehicles and motorcycles</v>
      </c>
    </row>
    <row r="1009" spans="1:4" x14ac:dyDescent="0.35">
      <c r="A1009" s="327" t="s">
        <v>2568</v>
      </c>
      <c r="B1009" t="s">
        <v>2569</v>
      </c>
      <c r="C1009" s="328"/>
      <c r="D1009" s="327" t="str">
        <f t="shared" si="19"/>
        <v>NACE T - 95.1 Repair and maintenance of computers and communication equipment</v>
      </c>
    </row>
    <row r="1010" spans="1:4" x14ac:dyDescent="0.35">
      <c r="A1010" s="328" t="s">
        <v>2570</v>
      </c>
      <c r="B1010" t="s">
        <v>2571</v>
      </c>
      <c r="C1010" s="328"/>
      <c r="D1010" s="328" t="str">
        <f t="shared" si="19"/>
        <v>NACE T - 95.10 Repair and maintenance of computers and communication equipment</v>
      </c>
    </row>
    <row r="1011" spans="1:4" x14ac:dyDescent="0.35">
      <c r="A1011" s="327" t="s">
        <v>2572</v>
      </c>
      <c r="B1011" t="s">
        <v>2573</v>
      </c>
      <c r="C1011" s="328"/>
      <c r="D1011" s="327" t="str">
        <f t="shared" si="19"/>
        <v>NACE T - 95.2 Repair and maintenance of personal and household goods</v>
      </c>
    </row>
    <row r="1012" spans="1:4" x14ac:dyDescent="0.35">
      <c r="A1012" s="328" t="s">
        <v>2574</v>
      </c>
      <c r="B1012" t="s">
        <v>2575</v>
      </c>
      <c r="C1012" s="328"/>
      <c r="D1012" s="328" t="str">
        <f t="shared" si="19"/>
        <v>NACE T - 95.21 Repair and maintenance of consumer electronics</v>
      </c>
    </row>
    <row r="1013" spans="1:4" x14ac:dyDescent="0.35">
      <c r="A1013" s="328" t="s">
        <v>2576</v>
      </c>
      <c r="B1013" t="s">
        <v>2577</v>
      </c>
      <c r="C1013" s="328"/>
      <c r="D1013" s="328" t="str">
        <f t="shared" si="19"/>
        <v>NACE T - 95.22 Repair and maintenance of household appliances and home and garden equipment</v>
      </c>
    </row>
    <row r="1014" spans="1:4" x14ac:dyDescent="0.35">
      <c r="A1014" s="328" t="s">
        <v>2578</v>
      </c>
      <c r="B1014" t="s">
        <v>2579</v>
      </c>
      <c r="C1014" s="328"/>
      <c r="D1014" s="328" t="str">
        <f t="shared" si="19"/>
        <v>NACE T - 95.23 Repair and maintenance of footwear and leather goods</v>
      </c>
    </row>
    <row r="1015" spans="1:4" x14ac:dyDescent="0.35">
      <c r="A1015" s="328" t="s">
        <v>2580</v>
      </c>
      <c r="B1015" t="s">
        <v>2581</v>
      </c>
      <c r="C1015" s="328"/>
      <c r="D1015" s="328" t="str">
        <f t="shared" si="19"/>
        <v>NACE T - 95.24 Repair and maintenance of furniture and home furnishings</v>
      </c>
    </row>
    <row r="1016" spans="1:4" x14ac:dyDescent="0.35">
      <c r="A1016" s="328" t="s">
        <v>2582</v>
      </c>
      <c r="B1016" t="s">
        <v>2583</v>
      </c>
      <c r="C1016" s="328"/>
      <c r="D1016" s="328" t="str">
        <f t="shared" si="19"/>
        <v>NACE T - 95.25 Repair and maintenance of watches, clocks and jewellery</v>
      </c>
    </row>
    <row r="1017" spans="1:4" x14ac:dyDescent="0.35">
      <c r="A1017" s="328" t="s">
        <v>2584</v>
      </c>
      <c r="B1017" t="s">
        <v>2585</v>
      </c>
      <c r="C1017" s="328"/>
      <c r="D1017" s="328" t="str">
        <f t="shared" si="19"/>
        <v>NACE T - 95.29 Repair and maintenance of personal and household goods n.e.c.</v>
      </c>
    </row>
    <row r="1018" spans="1:4" x14ac:dyDescent="0.35">
      <c r="A1018" s="327" t="s">
        <v>2586</v>
      </c>
      <c r="B1018" t="s">
        <v>2587</v>
      </c>
      <c r="C1018" s="328"/>
      <c r="D1018" s="327" t="str">
        <f t="shared" si="19"/>
        <v>NACE T - 95.3 Repair and maintenance of motor vehicles and motorcycles</v>
      </c>
    </row>
    <row r="1019" spans="1:4" x14ac:dyDescent="0.35">
      <c r="A1019" s="328" t="s">
        <v>2588</v>
      </c>
      <c r="B1019" t="s">
        <v>2589</v>
      </c>
      <c r="C1019" s="328"/>
      <c r="D1019" s="328" t="str">
        <f t="shared" si="19"/>
        <v>NACE T - 95.31 Repair and maintenance of motor vehicles</v>
      </c>
    </row>
    <row r="1020" spans="1:4" x14ac:dyDescent="0.35">
      <c r="A1020" s="328" t="s">
        <v>2590</v>
      </c>
      <c r="B1020" t="s">
        <v>2591</v>
      </c>
      <c r="C1020" s="328"/>
      <c r="D1020" s="328" t="str">
        <f t="shared" si="19"/>
        <v>NACE T - 95.32 Repair and maintenance of motorcycles</v>
      </c>
    </row>
    <row r="1021" spans="1:4" x14ac:dyDescent="0.35">
      <c r="A1021" s="327" t="s">
        <v>2592</v>
      </c>
      <c r="B1021" t="s">
        <v>2593</v>
      </c>
      <c r="C1021" s="328"/>
      <c r="D1021" s="327" t="str">
        <f t="shared" si="19"/>
        <v>NACE T - 95.4 Intermediation service activities for repair and maintenance of computers, personal and household goods, and motor vehicles and motorcycles</v>
      </c>
    </row>
    <row r="1022" spans="1:4" x14ac:dyDescent="0.35">
      <c r="A1022" s="328" t="s">
        <v>2594</v>
      </c>
      <c r="B1022" t="s">
        <v>2595</v>
      </c>
      <c r="C1022" s="328"/>
      <c r="D1022" s="328" t="str">
        <f t="shared" si="19"/>
        <v>NACE T - 95.40 Intermediation service activities for repair and maintenance of computers, personal and household goods, and motor vehicles and motorcycles</v>
      </c>
    </row>
    <row r="1023" spans="1:4" x14ac:dyDescent="0.35">
      <c r="A1023" s="324" t="s">
        <v>2596</v>
      </c>
      <c r="B1023" t="s">
        <v>2597</v>
      </c>
      <c r="C1023" s="328"/>
      <c r="D1023" s="324" t="str">
        <f t="shared" si="19"/>
        <v>NACE T - 96 Personal service activities</v>
      </c>
    </row>
    <row r="1024" spans="1:4" x14ac:dyDescent="0.35">
      <c r="A1024" s="327" t="s">
        <v>2598</v>
      </c>
      <c r="B1024" t="s">
        <v>2599</v>
      </c>
      <c r="C1024" s="328"/>
      <c r="D1024" s="327" t="str">
        <f t="shared" si="19"/>
        <v>NACE T - 96.1 Washing and cleaning of textile and fur products</v>
      </c>
    </row>
    <row r="1025" spans="1:4" x14ac:dyDescent="0.35">
      <c r="A1025" s="328" t="s">
        <v>2600</v>
      </c>
      <c r="B1025" t="s">
        <v>2601</v>
      </c>
      <c r="C1025" s="328"/>
      <c r="D1025" s="328" t="str">
        <f t="shared" si="19"/>
        <v>NACE T - 96.10 Washing and cleaning of textile and fur products</v>
      </c>
    </row>
    <row r="1026" spans="1:4" x14ac:dyDescent="0.35">
      <c r="A1026" s="327" t="s">
        <v>2602</v>
      </c>
      <c r="B1026" t="s">
        <v>2603</v>
      </c>
      <c r="C1026" s="328"/>
      <c r="D1026" s="327" t="str">
        <f t="shared" ref="D1026:D1049" si="20">_xlfn.CONCAT("NACE ", A1026)</f>
        <v>NACE T - 96.2 Hairdressing, beauty treatment, day spa and similar activities</v>
      </c>
    </row>
    <row r="1027" spans="1:4" x14ac:dyDescent="0.35">
      <c r="A1027" s="328" t="s">
        <v>2604</v>
      </c>
      <c r="B1027" t="s">
        <v>2605</v>
      </c>
      <c r="C1027" s="328"/>
      <c r="D1027" s="328" t="str">
        <f t="shared" si="20"/>
        <v>NACE T - 96.21 Hairdressing and barber activities</v>
      </c>
    </row>
    <row r="1028" spans="1:4" x14ac:dyDescent="0.35">
      <c r="A1028" s="328" t="s">
        <v>2606</v>
      </c>
      <c r="B1028" t="s">
        <v>2607</v>
      </c>
      <c r="C1028" s="328"/>
      <c r="D1028" s="328" t="str">
        <f t="shared" si="20"/>
        <v>NACE T - 96.22 Beauty care and other beauty treatment activities</v>
      </c>
    </row>
    <row r="1029" spans="1:4" x14ac:dyDescent="0.35">
      <c r="A1029" s="328" t="s">
        <v>2608</v>
      </c>
      <c r="B1029" t="s">
        <v>2609</v>
      </c>
      <c r="C1029" s="328"/>
      <c r="D1029" s="328" t="str">
        <f t="shared" si="20"/>
        <v>NACE T - 96.23 Day spa, sauna and steam bath activities</v>
      </c>
    </row>
    <row r="1030" spans="1:4" x14ac:dyDescent="0.35">
      <c r="A1030" s="327" t="s">
        <v>2610</v>
      </c>
      <c r="B1030" t="s">
        <v>2611</v>
      </c>
      <c r="C1030" s="328"/>
      <c r="D1030" s="327" t="str">
        <f t="shared" si="20"/>
        <v>NACE T - 96.3 Funeral and related activities</v>
      </c>
    </row>
    <row r="1031" spans="1:4" x14ac:dyDescent="0.35">
      <c r="A1031" s="328" t="s">
        <v>2612</v>
      </c>
      <c r="B1031" t="s">
        <v>2613</v>
      </c>
      <c r="C1031" s="328"/>
      <c r="D1031" s="328" t="str">
        <f t="shared" si="20"/>
        <v>NACE T - 96.30 Funeral and related activities</v>
      </c>
    </row>
    <row r="1032" spans="1:4" x14ac:dyDescent="0.35">
      <c r="A1032" s="327" t="s">
        <v>2614</v>
      </c>
      <c r="B1032" t="s">
        <v>2615</v>
      </c>
      <c r="C1032" s="328"/>
      <c r="D1032" s="327" t="str">
        <f t="shared" si="20"/>
        <v>NACE T - 96.4 Intermediation service activities for personal services</v>
      </c>
    </row>
    <row r="1033" spans="1:4" x14ac:dyDescent="0.35">
      <c r="A1033" s="328" t="s">
        <v>2616</v>
      </c>
      <c r="B1033" t="s">
        <v>2617</v>
      </c>
      <c r="C1033" s="328"/>
      <c r="D1033" s="328" t="str">
        <f t="shared" si="20"/>
        <v>NACE T - 96.40 Intermediation service activities for personal services</v>
      </c>
    </row>
    <row r="1034" spans="1:4" x14ac:dyDescent="0.35">
      <c r="A1034" s="327" t="s">
        <v>2618</v>
      </c>
      <c r="B1034" t="s">
        <v>2619</v>
      </c>
      <c r="C1034" s="328"/>
      <c r="D1034" s="327" t="str">
        <f t="shared" si="20"/>
        <v>NACE T - 96.9 Other personal service activities</v>
      </c>
    </row>
    <row r="1035" spans="1:4" x14ac:dyDescent="0.35">
      <c r="A1035" s="328" t="s">
        <v>2620</v>
      </c>
      <c r="B1035" t="s">
        <v>2621</v>
      </c>
      <c r="C1035" s="328"/>
      <c r="D1035" s="328" t="str">
        <f t="shared" si="20"/>
        <v>NACE T - 96.91 Provision of domestic personal service activities</v>
      </c>
    </row>
    <row r="1036" spans="1:4" x14ac:dyDescent="0.35">
      <c r="A1036" s="328" t="s">
        <v>2622</v>
      </c>
      <c r="B1036" t="s">
        <v>2623</v>
      </c>
      <c r="C1036" s="328"/>
      <c r="D1036" s="328" t="str">
        <f t="shared" si="20"/>
        <v>NACE T - 96.99 Other personal service activities n.e.c.</v>
      </c>
    </row>
    <row r="1037" spans="1:4" x14ac:dyDescent="0.35">
      <c r="A1037" s="325" t="s">
        <v>2624</v>
      </c>
      <c r="B1037" t="s">
        <v>2625</v>
      </c>
      <c r="C1037" s="328"/>
      <c r="D1037" s="325" t="str">
        <f t="shared" si="20"/>
        <v>NACE U - ACTIVITIES OF HOUSEHOLDS AS EMPLOYERS AND UNDIFFERENTIATED GOODS – AND SERVICE-PRODUCING ACTIVITIES OF HOUSEHOLDS FOR OWN USE</v>
      </c>
    </row>
    <row r="1038" spans="1:4" x14ac:dyDescent="0.35">
      <c r="A1038" s="324" t="s">
        <v>2626</v>
      </c>
      <c r="B1038" t="s">
        <v>2627</v>
      </c>
      <c r="C1038" s="328"/>
      <c r="D1038" s="324" t="str">
        <f t="shared" si="20"/>
        <v>NACE U - 97 Activities of households as employers of domestic personnel</v>
      </c>
    </row>
    <row r="1039" spans="1:4" x14ac:dyDescent="0.35">
      <c r="A1039" s="327" t="s">
        <v>2628</v>
      </c>
      <c r="B1039" t="s">
        <v>2629</v>
      </c>
      <c r="C1039" s="328"/>
      <c r="D1039" s="327" t="str">
        <f t="shared" si="20"/>
        <v>NACE U - 97.0 Activities of households as employers of domestic personnel</v>
      </c>
    </row>
    <row r="1040" spans="1:4" x14ac:dyDescent="0.35">
      <c r="A1040" s="328" t="s">
        <v>2630</v>
      </c>
      <c r="B1040" t="s">
        <v>2631</v>
      </c>
      <c r="C1040" s="328"/>
      <c r="D1040" s="328" t="str">
        <f t="shared" si="20"/>
        <v>NACE U - 97.00 Activities of households as employers of domestic personnel</v>
      </c>
    </row>
    <row r="1041" spans="1:4" x14ac:dyDescent="0.35">
      <c r="A1041" s="324" t="s">
        <v>2632</v>
      </c>
      <c r="B1041" t="s">
        <v>2633</v>
      </c>
      <c r="C1041" s="328"/>
      <c r="D1041" s="324" t="str">
        <f t="shared" si="20"/>
        <v>NACE U - 98 Undifferentiated goods- and service-producing activities of private households for own use</v>
      </c>
    </row>
    <row r="1042" spans="1:4" x14ac:dyDescent="0.35">
      <c r="A1042" s="327" t="s">
        <v>2634</v>
      </c>
      <c r="B1042" t="s">
        <v>2635</v>
      </c>
      <c r="C1042" s="328"/>
      <c r="D1042" s="327" t="str">
        <f t="shared" si="20"/>
        <v>NACE U - 98.1 Undifferentiated goods-producing activities of private households for own use</v>
      </c>
    </row>
    <row r="1043" spans="1:4" x14ac:dyDescent="0.35">
      <c r="A1043" s="328" t="s">
        <v>2636</v>
      </c>
      <c r="B1043" t="s">
        <v>2637</v>
      </c>
      <c r="C1043" s="328"/>
      <c r="D1043" s="328" t="str">
        <f t="shared" si="20"/>
        <v>NACE U - 98.10 Undifferentiated goods-producing activities of private households for own use</v>
      </c>
    </row>
    <row r="1044" spans="1:4" x14ac:dyDescent="0.35">
      <c r="A1044" s="327" t="s">
        <v>2638</v>
      </c>
      <c r="B1044" t="s">
        <v>2639</v>
      </c>
      <c r="C1044" s="328"/>
      <c r="D1044" s="327" t="str">
        <f t="shared" si="20"/>
        <v>NACE U - 98.2 Undifferentiated service-producing activities of private households for own use</v>
      </c>
    </row>
    <row r="1045" spans="1:4" x14ac:dyDescent="0.35">
      <c r="A1045" s="328" t="s">
        <v>2640</v>
      </c>
      <c r="B1045" t="s">
        <v>2641</v>
      </c>
      <c r="C1045" s="328"/>
      <c r="D1045" s="328" t="str">
        <f t="shared" si="20"/>
        <v>NACE U - 98.20 Undifferentiated service-producing activities of private households for own use</v>
      </c>
    </row>
    <row r="1046" spans="1:4" x14ac:dyDescent="0.35">
      <c r="A1046" s="325" t="s">
        <v>2642</v>
      </c>
      <c r="B1046" t="s">
        <v>2643</v>
      </c>
      <c r="C1046" s="328"/>
      <c r="D1046" s="325" t="str">
        <f t="shared" si="20"/>
        <v>NACE V - ACTIVITIES OF EXTRATERRITORIAL ORGANISATIONS AND BODIES</v>
      </c>
    </row>
    <row r="1047" spans="1:4" x14ac:dyDescent="0.35">
      <c r="A1047" s="324" t="s">
        <v>2644</v>
      </c>
      <c r="B1047" t="s">
        <v>2645</v>
      </c>
      <c r="C1047" s="328"/>
      <c r="D1047" s="324" t="str">
        <f t="shared" si="20"/>
        <v>NACE V - 99 Activities of extraterritorial organisations and bodies</v>
      </c>
    </row>
    <row r="1048" spans="1:4" x14ac:dyDescent="0.35">
      <c r="A1048" s="327" t="s">
        <v>2646</v>
      </c>
      <c r="B1048" t="s">
        <v>2647</v>
      </c>
      <c r="C1048" s="328"/>
      <c r="D1048" s="327" t="str">
        <f t="shared" si="20"/>
        <v>NACE V - 99.0 Activities of extraterritorial organisations and bodies</v>
      </c>
    </row>
    <row r="1049" spans="1:4" x14ac:dyDescent="0.35">
      <c r="A1049" s="328" t="s">
        <v>2648</v>
      </c>
      <c r="B1049" t="s">
        <v>2649</v>
      </c>
      <c r="C1049" s="328"/>
      <c r="D1049" s="328" t="str">
        <f t="shared" si="20"/>
        <v>NACE V - 99.00 Activities of extraterritorial organisations and bodies</v>
      </c>
    </row>
  </sheetData>
  <sheetProtection algorithmName="SHA-512" hashValue="gl6FPNbyGNLQjImbAhQ1yumbyiIslPaONO/Nnjsfp+6ASdXaT1QNTAc5zUvqJXJUhGN3G0HLK+oi8TYu5bjGuQ==" saltValue="egVil11+ujEfN+zBNckfFQ==" spinCount="100000" sheet="1" objects="1" scenarios="1"/>
  <sortState xmlns:xlrd2="http://schemas.microsoft.com/office/spreadsheetml/2017/richdata2" ref="C2:C1048">
    <sortCondition ref="C2:C1048"/>
  </sortState>
  <phoneticPr fontId="3" type="noConversion"/>
  <dataValidations count="1">
    <dataValidation type="list" allowBlank="1" showInputMessage="1" showErrorMessage="1" sqref="D3:D1049" xr:uid="{C5A457C6-D163-469A-A04B-AC21FACC80E7}">
      <formula1>$D$3:$D$1049</formula1>
    </dataValidation>
  </dataValidations>
  <pageMargins left="0.7" right="0.7" top="0.75" bottom="0.75" header="0.3" footer="0.3"/>
  <pageSetup paperSize="9" orientation="portrait" horizontalDpi="4294967293" vertic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85A03-4878-4426-A2CC-5DD7C0041933}">
  <dimension ref="A1:G490"/>
  <sheetViews>
    <sheetView zoomScaleNormal="100" workbookViewId="0"/>
  </sheetViews>
  <sheetFormatPr defaultColWidth="11" defaultRowHeight="14.5" x14ac:dyDescent="0.35"/>
  <cols>
    <col min="1" max="1" width="52.1796875" customWidth="1"/>
    <col min="2" max="2" width="56.26953125" customWidth="1"/>
    <col min="3" max="7" width="50.81640625" customWidth="1"/>
  </cols>
  <sheetData>
    <row r="1" spans="1:7" s="119" customFormat="1" x14ac:dyDescent="0.35">
      <c r="A1" s="392" t="s">
        <v>3949</v>
      </c>
      <c r="B1" s="393" t="s">
        <v>5641</v>
      </c>
      <c r="C1" s="391" t="s">
        <v>5691</v>
      </c>
      <c r="D1" s="391" t="s">
        <v>7228</v>
      </c>
      <c r="E1" s="391" t="s">
        <v>6490</v>
      </c>
      <c r="F1" s="391" t="s">
        <v>7600</v>
      </c>
      <c r="G1" s="391" t="s">
        <v>6840</v>
      </c>
    </row>
    <row r="2" spans="1:7" s="454" customFormat="1" x14ac:dyDescent="0.35">
      <c r="A2" s="390"/>
      <c r="B2" s="86"/>
      <c r="C2" s="389" t="s">
        <v>3950</v>
      </c>
      <c r="D2" s="389" t="s">
        <v>4629</v>
      </c>
      <c r="E2" s="389" t="s">
        <v>4630</v>
      </c>
      <c r="F2" s="389" t="s">
        <v>4631</v>
      </c>
      <c r="G2" s="389" t="s">
        <v>4632</v>
      </c>
    </row>
    <row r="3" spans="1:7" x14ac:dyDescent="0.35">
      <c r="A3" s="390"/>
      <c r="B3" s="394"/>
      <c r="C3" s="389" t="str">
        <f>C1&amp; " [" &amp;C2 &amp; "]"</f>
        <v>English - Official [en]</v>
      </c>
      <c r="D3" s="389" t="str">
        <f t="shared" ref="D3:G3" si="0">D1&amp; " [" &amp;D2 &amp; "]"</f>
        <v>Lithuanian - Reviewed translation by Lithuanian Standard Setter [lt]</v>
      </c>
      <c r="E3" s="389" t="str">
        <f t="shared" si="0"/>
        <v>Polish - Reviewed translation by Polish Standard Setter [pl]</v>
      </c>
      <c r="F3" s="389" t="str">
        <f t="shared" si="0"/>
        <v>Portuguese - Reviewed translation by Portuguese Standard Setter [pt]</v>
      </c>
      <c r="G3" s="389" t="str">
        <f t="shared" si="0"/>
        <v>Spanish - Reviewed translation by Spanish Standard Setter [es]</v>
      </c>
    </row>
    <row r="4" spans="1:7" s="90" customFormat="1" x14ac:dyDescent="0.35">
      <c r="A4" s="443" t="s">
        <v>5622</v>
      </c>
      <c r="B4" s="444" t="str">
        <f t="shared" ref="B4:B67" si="1">INDEX(C4:G4,MATCH(template_selected_display_language,$C$3:$G$3,0))</f>
        <v>Entity Name</v>
      </c>
      <c r="C4" s="90" t="s">
        <v>5615</v>
      </c>
      <c r="D4" s="90" t="s">
        <v>6841</v>
      </c>
      <c r="E4" s="90" t="s">
        <v>5906</v>
      </c>
      <c r="F4" s="90" t="s">
        <v>7238</v>
      </c>
      <c r="G4" s="90" t="s">
        <v>6547</v>
      </c>
    </row>
    <row r="5" spans="1:7" s="90" customFormat="1" x14ac:dyDescent="0.35">
      <c r="A5" s="443" t="s">
        <v>5619</v>
      </c>
      <c r="B5" s="444" t="str">
        <f t="shared" si="1"/>
        <v>Entity Identifier</v>
      </c>
      <c r="C5" s="90" t="s">
        <v>5616</v>
      </c>
      <c r="D5" s="90" t="s">
        <v>6842</v>
      </c>
      <c r="E5" s="90" t="s">
        <v>5907</v>
      </c>
      <c r="F5" s="90" t="s">
        <v>7239</v>
      </c>
      <c r="G5" s="90" t="s">
        <v>5704</v>
      </c>
    </row>
    <row r="6" spans="1:7" s="90" customFormat="1" x14ac:dyDescent="0.35">
      <c r="A6" s="443" t="s">
        <v>5620</v>
      </c>
      <c r="B6" s="444" t="str">
        <f t="shared" si="1"/>
        <v>Entity Identifier Scheme</v>
      </c>
      <c r="C6" s="90" t="s">
        <v>5617</v>
      </c>
      <c r="D6" s="90" t="s">
        <v>6843</v>
      </c>
      <c r="E6" s="90" t="s">
        <v>6139</v>
      </c>
      <c r="F6" s="90" t="s">
        <v>7240</v>
      </c>
      <c r="G6" s="90" t="s">
        <v>6548</v>
      </c>
    </row>
    <row r="7" spans="1:7" s="90" customFormat="1" x14ac:dyDescent="0.35">
      <c r="A7" s="443" t="s">
        <v>5621</v>
      </c>
      <c r="B7" s="444" t="str">
        <f t="shared" si="1"/>
        <v>Report currency</v>
      </c>
      <c r="C7" s="90" t="s">
        <v>5618</v>
      </c>
      <c r="D7" s="90" t="s">
        <v>5994</v>
      </c>
      <c r="E7" s="90" t="s">
        <v>6140</v>
      </c>
      <c r="F7" s="90" t="s">
        <v>7241</v>
      </c>
      <c r="G7" s="90" t="s">
        <v>6530</v>
      </c>
    </row>
    <row r="8" spans="1:7" s="90" customFormat="1" x14ac:dyDescent="0.35">
      <c r="A8" s="443" t="s">
        <v>5624</v>
      </c>
      <c r="B8" s="444" t="str">
        <f t="shared" si="1"/>
        <v>Decimal separator</v>
      </c>
      <c r="C8" s="90" t="s">
        <v>5623</v>
      </c>
      <c r="D8" s="90" t="s">
        <v>6844</v>
      </c>
      <c r="E8" s="90" t="s">
        <v>6073</v>
      </c>
      <c r="F8" s="90" t="s">
        <v>5705</v>
      </c>
      <c r="G8" s="90" t="s">
        <v>5705</v>
      </c>
    </row>
    <row r="9" spans="1:7" s="90" customFormat="1" x14ac:dyDescent="0.35">
      <c r="A9" s="443" t="s">
        <v>5626</v>
      </c>
      <c r="B9" s="444" t="str">
        <f t="shared" si="1"/>
        <v>Report period</v>
      </c>
      <c r="C9" s="90" t="s">
        <v>5625</v>
      </c>
      <c r="D9" s="90" t="s">
        <v>6845</v>
      </c>
      <c r="E9" s="90" t="s">
        <v>5908</v>
      </c>
      <c r="F9" s="90" t="s">
        <v>5827</v>
      </c>
      <c r="G9" s="90" t="s">
        <v>6549</v>
      </c>
    </row>
    <row r="10" spans="1:7" s="90" customFormat="1" x14ac:dyDescent="0.35">
      <c r="A10" s="443" t="s">
        <v>5628</v>
      </c>
      <c r="B10" s="444" t="str">
        <f t="shared" si="1"/>
        <v>Report generated</v>
      </c>
      <c r="C10" s="90" t="s">
        <v>5627</v>
      </c>
      <c r="D10" s="90" t="s">
        <v>6846</v>
      </c>
      <c r="E10" s="90" t="s">
        <v>6141</v>
      </c>
      <c r="F10" s="90" t="s">
        <v>6090</v>
      </c>
      <c r="G10" s="90" t="s">
        <v>5706</v>
      </c>
    </row>
    <row r="11" spans="1:7" s="90" customFormat="1" x14ac:dyDescent="0.35">
      <c r="A11" s="443" t="s">
        <v>5630</v>
      </c>
      <c r="B11" s="444" t="str">
        <f t="shared" si="1"/>
        <v>All disclosures are related to the reporting period above unless specified otherwise.</v>
      </c>
      <c r="C11" s="90" t="s">
        <v>5629</v>
      </c>
      <c r="D11" s="90" t="s">
        <v>6847</v>
      </c>
      <c r="E11" s="90" t="s">
        <v>6142</v>
      </c>
      <c r="F11" s="90" t="s">
        <v>7242</v>
      </c>
      <c r="G11" s="90" t="s">
        <v>6550</v>
      </c>
    </row>
    <row r="12" spans="1:7" s="90" customFormat="1" x14ac:dyDescent="0.35">
      <c r="A12" s="443" t="s">
        <v>5631</v>
      </c>
      <c r="B12" s="444" t="str">
        <f t="shared" si="1"/>
        <v>Table of Contents</v>
      </c>
      <c r="C12" s="90" t="s">
        <v>3663</v>
      </c>
      <c r="D12" s="90" t="s">
        <v>5995</v>
      </c>
      <c r="E12" s="90" t="s">
        <v>5909</v>
      </c>
      <c r="F12" s="90" t="s">
        <v>5828</v>
      </c>
      <c r="G12" s="90" t="s">
        <v>6551</v>
      </c>
    </row>
    <row r="13" spans="1:7" s="90" customFormat="1" x14ac:dyDescent="0.35">
      <c r="A13" s="443" t="s">
        <v>5633</v>
      </c>
      <c r="B13" s="444" t="str">
        <f t="shared" si="1"/>
        <v>Reporting period:</v>
      </c>
      <c r="C13" s="90" t="s">
        <v>5632</v>
      </c>
      <c r="D13" s="90" t="s">
        <v>6848</v>
      </c>
      <c r="E13" s="90" t="s">
        <v>5908</v>
      </c>
      <c r="F13" s="90" t="s">
        <v>5829</v>
      </c>
      <c r="G13" s="90" t="s">
        <v>6552</v>
      </c>
    </row>
    <row r="14" spans="1:7" s="445" customFormat="1" ht="15" thickBot="1" x14ac:dyDescent="0.4">
      <c r="A14" s="455" t="s">
        <v>5635</v>
      </c>
      <c r="B14" s="478" t="str">
        <f t="shared" si="1"/>
        <v>This report contains {{ ns.fact_count }} XBRL facts ({{ facts | count }} unique facts).</v>
      </c>
      <c r="C14" s="445" t="s">
        <v>5634</v>
      </c>
      <c r="D14" s="445" t="s">
        <v>7602</v>
      </c>
      <c r="E14" s="445" t="s">
        <v>7599</v>
      </c>
      <c r="F14" s="445" t="s">
        <v>7598</v>
      </c>
      <c r="G14" s="445" t="s">
        <v>7601</v>
      </c>
    </row>
    <row r="15" spans="1:7" s="90" customFormat="1" x14ac:dyDescent="0.35">
      <c r="A15" s="443" t="s">
        <v>4470</v>
      </c>
      <c r="B15" s="444" t="str">
        <f t="shared" si="1"/>
        <v>Version:</v>
      </c>
      <c r="C15" s="90" t="s">
        <v>2881</v>
      </c>
      <c r="D15" s="90" t="s">
        <v>6054</v>
      </c>
      <c r="E15" s="90" t="s">
        <v>6143</v>
      </c>
      <c r="F15" s="90" t="s">
        <v>5830</v>
      </c>
      <c r="G15" s="90" t="s">
        <v>5707</v>
      </c>
    </row>
    <row r="16" spans="1:7" x14ac:dyDescent="0.35">
      <c r="A16" s="443" t="s">
        <v>4471</v>
      </c>
      <c r="B16" s="444" t="str">
        <f t="shared" si="1"/>
        <v>Publication date:</v>
      </c>
      <c r="C16" s="90" t="s">
        <v>2883</v>
      </c>
      <c r="D16" s="90" t="s">
        <v>6849</v>
      </c>
      <c r="E16" s="90" t="s">
        <v>5910</v>
      </c>
      <c r="F16" s="90" t="s">
        <v>6091</v>
      </c>
      <c r="G16" s="90" t="s">
        <v>5708</v>
      </c>
    </row>
    <row r="17" spans="1:7" x14ac:dyDescent="0.35">
      <c r="A17" s="443" t="s">
        <v>4472</v>
      </c>
      <c r="B17" s="444" t="str">
        <f t="shared" si="1"/>
        <v>Taxonomy entry point:</v>
      </c>
      <c r="C17" s="90" t="s">
        <v>3616</v>
      </c>
      <c r="D17" s="90" t="s">
        <v>6850</v>
      </c>
      <c r="E17" s="90" t="s">
        <v>6144</v>
      </c>
      <c r="F17" s="90" t="s">
        <v>7243</v>
      </c>
      <c r="G17" s="90" t="s">
        <v>6553</v>
      </c>
    </row>
    <row r="18" spans="1:7" x14ac:dyDescent="0.35">
      <c r="A18" s="443" t="s">
        <v>4473</v>
      </c>
      <c r="B18" s="444" t="str">
        <f t="shared" si="1"/>
        <v>Select Template Display Language:</v>
      </c>
      <c r="C18" s="90" t="s">
        <v>4029</v>
      </c>
      <c r="D18" s="90" t="s">
        <v>6851</v>
      </c>
      <c r="E18" s="90" t="s">
        <v>5911</v>
      </c>
      <c r="F18" s="90" t="s">
        <v>7244</v>
      </c>
      <c r="G18" s="90" t="s">
        <v>6554</v>
      </c>
    </row>
    <row r="19" spans="1:7" x14ac:dyDescent="0.35">
      <c r="A19" s="443" t="s">
        <v>6113</v>
      </c>
      <c r="B19" s="444" t="str">
        <f t="shared" si="1"/>
        <v>Main title of the report</v>
      </c>
      <c r="C19" s="90" t="s">
        <v>4637</v>
      </c>
      <c r="D19" s="90" t="s">
        <v>6114</v>
      </c>
      <c r="E19" s="90" t="s">
        <v>6145</v>
      </c>
      <c r="F19" s="90" t="s">
        <v>6115</v>
      </c>
      <c r="G19" s="90" t="s">
        <v>6116</v>
      </c>
    </row>
    <row r="20" spans="1:7" x14ac:dyDescent="0.35">
      <c r="A20" s="443" t="s">
        <v>6111</v>
      </c>
      <c r="B20" s="444" t="str">
        <f t="shared" si="1"/>
        <v xml:space="preserve">Sustainability Report </v>
      </c>
      <c r="C20" s="90" t="s">
        <v>4638</v>
      </c>
      <c r="D20" s="90" t="s">
        <v>5996</v>
      </c>
      <c r="E20" s="90" t="s">
        <v>6146</v>
      </c>
      <c r="F20" s="90" t="s">
        <v>6092</v>
      </c>
      <c r="G20" s="90" t="s">
        <v>6555</v>
      </c>
    </row>
    <row r="21" spans="1:7" x14ac:dyDescent="0.35">
      <c r="A21" s="443" t="s">
        <v>6117</v>
      </c>
      <c r="B21" s="444" t="str">
        <f t="shared" si="1"/>
        <v>Subtitle of the report</v>
      </c>
      <c r="C21" s="90" t="s">
        <v>4661</v>
      </c>
      <c r="D21" s="90" t="s">
        <v>6852</v>
      </c>
      <c r="E21" s="90" t="s">
        <v>6147</v>
      </c>
      <c r="F21" s="90" t="s">
        <v>6118</v>
      </c>
      <c r="G21" s="90" t="s">
        <v>6556</v>
      </c>
    </row>
    <row r="22" spans="1:7" x14ac:dyDescent="0.35">
      <c r="A22" s="443" t="s">
        <v>6112</v>
      </c>
      <c r="B22" s="444" t="str">
        <f t="shared" si="1"/>
        <v>Prepared in accordance with the Voluntary Sustainability Reporting Standard for small and medium-sized undertakings (VSME), released by the European Commission on 30 July 2025.</v>
      </c>
      <c r="C22" s="90" t="s">
        <v>6493</v>
      </c>
      <c r="D22" s="90" t="s">
        <v>7236</v>
      </c>
      <c r="E22" s="90" t="s">
        <v>7234</v>
      </c>
      <c r="F22" s="90" t="s">
        <v>7603</v>
      </c>
      <c r="G22" s="90" t="s">
        <v>7232</v>
      </c>
    </row>
    <row r="23" spans="1:7" x14ac:dyDescent="0.35">
      <c r="A23" s="443" t="s">
        <v>4474</v>
      </c>
      <c r="B23" s="444" t="str">
        <f t="shared" si="1"/>
        <v>VSME Digital Template</v>
      </c>
      <c r="C23" s="90" t="s">
        <v>3725</v>
      </c>
      <c r="D23" s="90" t="s">
        <v>6853</v>
      </c>
      <c r="E23" s="90" t="s">
        <v>6148</v>
      </c>
      <c r="F23" s="90" t="s">
        <v>6093</v>
      </c>
      <c r="G23" s="90" t="s">
        <v>6557</v>
      </c>
    </row>
    <row r="24" spans="1:7" ht="16" customHeight="1" x14ac:dyDescent="0.35">
      <c r="A24" s="443" t="s">
        <v>4475</v>
      </c>
      <c r="B24" s="444" t="str">
        <f t="shared" si="1"/>
        <v>The purpose of this digital template is to illustrate how VSME reporting can be implemented in a digital template. The template reflects the VSME Recommendation as published by the European Commission on 30 July 2025. The template is accompanied by a digital VSME XBRL taxonomy, which represents the digital data model of the disclosures and is available on EFRAG's website. The VSME requires disclosure of comparative information on metrics (paragraph 12). This template enables reporting for one reporting period only. Therefore, it might be used for reporting in the first year only. It is expected that reporting solutions will enable the roll-forward of reporting periods, which would automatically provide the necessary comparative information.
This template can be used for data entry and validation. By using an XBRL Converter on EFRAG's website, it can be saved as an XBRL report, in a free and open data format. Excel-named ranges are used to extract the disclosures. Value cells that are empty and do not have any value (neither text nor a number) will not be considered as reported and will not be included in the XBRL report when using the Excel-to-XBRL converter.
A few drop-down selection menus in the VSME have more than 100 entries (e.g. the NACE codes under B1, the list of pollutants under B4, the list of wastes under B7). In order to search in the list, users can simply start typing search keywords in the cell.
If a security warning is shown, please "Enable Content" in order to allow automatic calculation of GPS coordinates for the list of sites under B1. No content other than the address entered will be sent to the internet and the contents shared with the provider can be found in the Nominatim Usage Policy (Geocoding Policy) and Privacy Policy.
All materials developed by the EFRAG Secretariat are released for free and as open source (MIT license), which will enable any stakeholder to further enhance them and integrate them into commercial solutions. However, respecting the license conditions, the reference to EFRAG must be mentioned by the providers of those commercial solutions. It's possible to consult the MIT License in the specific sheet.
If you wish to raise an issue with the VSME Digital Template or the Digital Template to XBRL Converter, please do so by creating an issue in the GitHub project.</v>
      </c>
      <c r="C24" s="477" t="s">
        <v>5690</v>
      </c>
      <c r="D24" s="90" t="s">
        <v>6854</v>
      </c>
      <c r="E24" s="90" t="s">
        <v>6149</v>
      </c>
      <c r="F24" s="90" t="s">
        <v>7343</v>
      </c>
      <c r="G24" s="90" t="s">
        <v>6531</v>
      </c>
    </row>
    <row r="25" spans="1:7" x14ac:dyDescent="0.35">
      <c r="A25" s="443" t="s">
        <v>4476</v>
      </c>
      <c r="B25" s="444" t="str">
        <f t="shared" si="1"/>
        <v>How to use it:</v>
      </c>
      <c r="C25" s="90" t="s">
        <v>2882</v>
      </c>
      <c r="D25" s="90" t="s">
        <v>6855</v>
      </c>
      <c r="E25" s="90" t="s">
        <v>6150</v>
      </c>
      <c r="F25" s="90" t="s">
        <v>7245</v>
      </c>
      <c r="G25" s="90" t="s">
        <v>6558</v>
      </c>
    </row>
    <row r="26" spans="1:7" x14ac:dyDescent="0.35">
      <c r="A26" s="443" t="s">
        <v>4477</v>
      </c>
      <c r="B26" s="444" t="str">
        <f t="shared" si="1"/>
        <v>0. Provide information that is mandatory in order to generate the VSME and XBRL Report.</v>
      </c>
      <c r="C26" s="90" t="s">
        <v>3531</v>
      </c>
      <c r="D26" s="90" t="s">
        <v>6856</v>
      </c>
      <c r="E26" s="90" t="s">
        <v>6151</v>
      </c>
      <c r="F26" s="90" t="s">
        <v>7246</v>
      </c>
      <c r="G26" s="90" t="s">
        <v>6820</v>
      </c>
    </row>
    <row r="27" spans="1:7" x14ac:dyDescent="0.35">
      <c r="A27" s="443" t="s">
        <v>4478</v>
      </c>
      <c r="B27" s="444" t="str">
        <f t="shared" si="1"/>
        <v>1. Fill in the disclosures on the four worksheets (General Information, Environmental Disclosures, Social Disclosures, Governance Disclosures) in the white cells framed by a black border. Do not enter information outside of those cells. Searching in drop-downs can be done by typing into the cell. Hints (input messages) are shown in several cells when selecting them.</v>
      </c>
      <c r="C27" s="90" t="s">
        <v>4468</v>
      </c>
      <c r="D27" s="90" t="s">
        <v>6857</v>
      </c>
      <c r="E27" s="90" t="s">
        <v>6152</v>
      </c>
      <c r="F27" s="90" t="s">
        <v>7587</v>
      </c>
      <c r="G27" s="90" t="s">
        <v>6821</v>
      </c>
    </row>
    <row r="28" spans="1:7" x14ac:dyDescent="0.35">
      <c r="A28" s="443" t="s">
        <v>4494</v>
      </c>
      <c r="B28" s="444" t="str">
        <f t="shared" si="1"/>
        <v>2. Find more information on the actual disclosure requirements in the VSME Standard and the related guidance linked to each cell. Additional or entity-specific disclosures can be provided in each text box at the end of each worksheet.</v>
      </c>
      <c r="C28" s="90" t="s">
        <v>3773</v>
      </c>
      <c r="D28" s="90" t="s">
        <v>6858</v>
      </c>
      <c r="E28" s="90" t="s">
        <v>6153</v>
      </c>
      <c r="F28" s="90" t="s">
        <v>7588</v>
      </c>
      <c r="G28" s="90" t="s">
        <v>6559</v>
      </c>
    </row>
    <row r="29" spans="1:7" x14ac:dyDescent="0.35">
      <c r="A29" s="443" t="s">
        <v>4498</v>
      </c>
      <c r="B29" s="444" t="str">
        <f t="shared" si="1"/>
        <v>3. For open tables like the List of subsidiaries/sites, please expand the groups by clicking the plus [+] icon on the left side. If more rows are needed, they can be added by inserting them between the first and last row. The row IDs in open tables must remain unique per table.</v>
      </c>
      <c r="C29" s="90" t="s">
        <v>7613</v>
      </c>
      <c r="D29" s="90" t="s">
        <v>6859</v>
      </c>
      <c r="E29" s="90" t="s">
        <v>6154</v>
      </c>
      <c r="F29" s="90" t="s">
        <v>7589</v>
      </c>
      <c r="G29" s="90" t="s">
        <v>6822</v>
      </c>
    </row>
    <row r="30" spans="1:7" x14ac:dyDescent="0.35">
      <c r="A30" s="443" t="s">
        <v>4495</v>
      </c>
      <c r="B30" s="444" t="str">
        <f t="shared" si="1"/>
        <v>4. Validate the data entered by checking the validation status. The report is considered incomplete or erroneous if the validation is fails, which might result in an invalid XBRL report.</v>
      </c>
      <c r="C30" s="90" t="s">
        <v>4469</v>
      </c>
      <c r="D30" s="90" t="s">
        <v>6860</v>
      </c>
      <c r="E30" s="90" t="s">
        <v>6155</v>
      </c>
      <c r="F30" s="90" t="s">
        <v>7247</v>
      </c>
      <c r="G30" s="90" t="s">
        <v>6560</v>
      </c>
    </row>
    <row r="31" spans="1:7" x14ac:dyDescent="0.35">
      <c r="A31" s="443" t="s">
        <v>4496</v>
      </c>
      <c r="B31" s="444" t="str">
        <f t="shared" si="1"/>
        <v>5. Convert this template to an Inline XBRL report (or XBRL-JSON, XBRL-CSV), using the online converter. Pay attention to the XBRL validation performed by the validator.</v>
      </c>
      <c r="C31" s="90" t="s">
        <v>6494</v>
      </c>
      <c r="D31" s="90" t="s">
        <v>7237</v>
      </c>
      <c r="E31" s="90" t="s">
        <v>7235</v>
      </c>
      <c r="F31" s="90" t="s">
        <v>7604</v>
      </c>
      <c r="G31" s="90" t="s">
        <v>7233</v>
      </c>
    </row>
    <row r="32" spans="1:7" x14ac:dyDescent="0.35">
      <c r="A32" s="443" t="s">
        <v>4497</v>
      </c>
      <c r="B32" s="444" t="str">
        <f t="shared" si="1"/>
        <v>6. The undertaking may also upload the report to public repositories or a webpage.</v>
      </c>
      <c r="C32" s="90" t="s">
        <v>3095</v>
      </c>
      <c r="D32" s="90" t="s">
        <v>6861</v>
      </c>
      <c r="E32" s="90" t="s">
        <v>6156</v>
      </c>
      <c r="F32" s="90" t="s">
        <v>7590</v>
      </c>
      <c r="G32" s="90" t="s">
        <v>6823</v>
      </c>
    </row>
    <row r="33" spans="1:7" x14ac:dyDescent="0.35">
      <c r="A33" s="443" t="s">
        <v>4479</v>
      </c>
      <c r="B33" s="444" t="str">
        <f t="shared" si="1"/>
        <v>Cell background color index:</v>
      </c>
      <c r="C33" s="90" t="s">
        <v>2887</v>
      </c>
      <c r="D33" s="90" t="s">
        <v>5997</v>
      </c>
      <c r="E33" s="90" t="s">
        <v>6074</v>
      </c>
      <c r="F33" s="90" t="s">
        <v>7248</v>
      </c>
      <c r="G33" s="90" t="s">
        <v>5709</v>
      </c>
    </row>
    <row r="34" spans="1:7" x14ac:dyDescent="0.35">
      <c r="A34" s="443" t="s">
        <v>4480</v>
      </c>
      <c r="B34" s="444" t="str">
        <f t="shared" si="1"/>
        <v>General Principles</v>
      </c>
      <c r="C34" s="90" t="s">
        <v>2911</v>
      </c>
      <c r="D34" s="90" t="s">
        <v>5998</v>
      </c>
      <c r="E34" s="90" t="s">
        <v>5912</v>
      </c>
      <c r="F34" s="90" t="s">
        <v>5831</v>
      </c>
      <c r="G34" s="90" t="s">
        <v>6561</v>
      </c>
    </row>
    <row r="35" spans="1:7" x14ac:dyDescent="0.35">
      <c r="A35" s="443" t="s">
        <v>4481</v>
      </c>
      <c r="B35" s="444" t="str">
        <f t="shared" si="1"/>
        <v>Indicates that the disclosure is from the general principles of the VSME.</v>
      </c>
      <c r="C35" s="90" t="s">
        <v>2912</v>
      </c>
      <c r="D35" s="90" t="s">
        <v>6862</v>
      </c>
      <c r="E35" s="90" t="s">
        <v>6157</v>
      </c>
      <c r="F35" s="90" t="s">
        <v>7249</v>
      </c>
      <c r="G35" s="90" t="s">
        <v>6562</v>
      </c>
    </row>
    <row r="36" spans="1:7" x14ac:dyDescent="0.35">
      <c r="A36" s="443" t="s">
        <v>4482</v>
      </c>
      <c r="B36" s="444" t="str">
        <f t="shared" si="1"/>
        <v>Basic Module</v>
      </c>
      <c r="C36" s="90" t="s">
        <v>2884</v>
      </c>
      <c r="D36" s="90" t="s">
        <v>6863</v>
      </c>
      <c r="E36" s="90" t="s">
        <v>5913</v>
      </c>
      <c r="F36" s="90" t="s">
        <v>7250</v>
      </c>
      <c r="G36" s="90" t="s">
        <v>5710</v>
      </c>
    </row>
    <row r="37" spans="1:7" x14ac:dyDescent="0.35">
      <c r="A37" s="443" t="s">
        <v>4483</v>
      </c>
      <c r="B37" s="444" t="str">
        <f t="shared" si="1"/>
        <v>Indicates that the disclosure is from the VSME Basic Module.</v>
      </c>
      <c r="C37" s="90" t="s">
        <v>2910</v>
      </c>
      <c r="D37" s="90" t="s">
        <v>6864</v>
      </c>
      <c r="E37" s="90" t="s">
        <v>5914</v>
      </c>
      <c r="F37" s="90" t="s">
        <v>7251</v>
      </c>
      <c r="G37" s="90" t="s">
        <v>6563</v>
      </c>
    </row>
    <row r="38" spans="1:7" x14ac:dyDescent="0.35">
      <c r="A38" s="443" t="s">
        <v>4484</v>
      </c>
      <c r="B38" s="444" t="str">
        <f t="shared" si="1"/>
        <v>Comprehensive Module</v>
      </c>
      <c r="C38" s="90" t="s">
        <v>2885</v>
      </c>
      <c r="D38" s="90" t="s">
        <v>6865</v>
      </c>
      <c r="E38" s="90" t="s">
        <v>6158</v>
      </c>
      <c r="F38" s="90" t="s">
        <v>7251</v>
      </c>
      <c r="G38" s="90" t="s">
        <v>5711</v>
      </c>
    </row>
    <row r="39" spans="1:7" x14ac:dyDescent="0.35">
      <c r="A39" s="443" t="s">
        <v>4485</v>
      </c>
      <c r="B39" s="444" t="str">
        <f t="shared" si="1"/>
        <v>Indicates that the disclosure is from the VSME Comprehensive Module.</v>
      </c>
      <c r="C39" s="90" t="s">
        <v>2909</v>
      </c>
      <c r="D39" s="90" t="s">
        <v>6866</v>
      </c>
      <c r="E39" s="90" t="s">
        <v>6159</v>
      </c>
      <c r="F39" s="90" t="s">
        <v>7251</v>
      </c>
      <c r="G39" s="90" t="s">
        <v>6564</v>
      </c>
    </row>
    <row r="40" spans="1:7" x14ac:dyDescent="0.35">
      <c r="A40" s="443" t="s">
        <v>4486</v>
      </c>
      <c r="B40" s="444" t="str">
        <f t="shared" si="1"/>
        <v>Indicates that the cell is automatically calculated and that no data entry is required.</v>
      </c>
      <c r="C40" s="90" t="s">
        <v>3774</v>
      </c>
      <c r="D40" s="90" t="s">
        <v>6867</v>
      </c>
      <c r="E40" s="90" t="s">
        <v>6160</v>
      </c>
      <c r="F40" s="90" t="s">
        <v>7252</v>
      </c>
      <c r="G40" s="90" t="s">
        <v>6565</v>
      </c>
    </row>
    <row r="41" spans="1:7" x14ac:dyDescent="0.35">
      <c r="A41" s="443" t="s">
        <v>4499</v>
      </c>
      <c r="B41" s="444" t="str">
        <f t="shared" si="1"/>
        <v>Indicates that the datapoint (often a condition) will not be included in the VSME and digital XBRL report. These cells are provided to facilitate the completion of the disclosure as they either trigger the applicability of the disclosure or they enable the automatic calculation of the disclosure. If the yellow cells are not being used to calculate a value, the total that is to be reported can be entered manually overwriting by the formula.</v>
      </c>
      <c r="C41" s="90" t="s">
        <v>3560</v>
      </c>
      <c r="D41" s="90" t="s">
        <v>6868</v>
      </c>
      <c r="E41" s="90" t="s">
        <v>6161</v>
      </c>
      <c r="F41" s="90" t="s">
        <v>7253</v>
      </c>
      <c r="G41" s="90" t="s">
        <v>6566</v>
      </c>
    </row>
    <row r="42" spans="1:7" x14ac:dyDescent="0.35">
      <c r="A42" s="443" t="s">
        <v>4487</v>
      </c>
      <c r="B42" s="444" t="str">
        <f t="shared" si="1"/>
        <v>Indicates that no data entry is required unless certain logics are selected in the disclosure itself. When one of these logics is selected, then this cell will turn white.</v>
      </c>
      <c r="C42" s="90" t="s">
        <v>3066</v>
      </c>
      <c r="D42" s="90" t="s">
        <v>6869</v>
      </c>
      <c r="E42" s="90" t="s">
        <v>6162</v>
      </c>
      <c r="F42" s="90" t="s">
        <v>7254</v>
      </c>
      <c r="G42" s="90" t="s">
        <v>6567</v>
      </c>
    </row>
    <row r="43" spans="1:7" x14ac:dyDescent="0.35">
      <c r="A43" s="443" t="s">
        <v>4500</v>
      </c>
      <c r="B43" s="444" t="str">
        <f t="shared" si="1"/>
        <v>Validation MISSING VALUE/ERROR/VALUE INCONSISTENCY/INVALID URL</v>
      </c>
      <c r="C43" s="444" t="s">
        <v>3775</v>
      </c>
      <c r="D43" s="90" t="s">
        <v>6870</v>
      </c>
      <c r="E43" s="90" t="s">
        <v>6163</v>
      </c>
      <c r="F43" s="90" t="s">
        <v>7255</v>
      </c>
      <c r="G43" s="90" t="s">
        <v>6507</v>
      </c>
    </row>
    <row r="44" spans="1:7" x14ac:dyDescent="0.35">
      <c r="A44" s="443" t="s">
        <v>4488</v>
      </c>
      <c r="B44" s="444" t="str">
        <f t="shared" si="1"/>
        <v>Indicates that either data entry is incorrect in terms of format or that certain information is missing in order to correctly report on the disclosure.</v>
      </c>
      <c r="C44" s="90" t="s">
        <v>3015</v>
      </c>
      <c r="D44" s="90" t="s">
        <v>6871</v>
      </c>
      <c r="E44" s="90" t="s">
        <v>6164</v>
      </c>
      <c r="F44" s="90" t="s">
        <v>7256</v>
      </c>
      <c r="G44" s="90" t="s">
        <v>6568</v>
      </c>
    </row>
    <row r="45" spans="1:7" x14ac:dyDescent="0.35">
      <c r="A45" s="443" t="s">
        <v>4501</v>
      </c>
      <c r="B45" s="444" t="str">
        <f t="shared" si="1"/>
        <v>Validation OK</v>
      </c>
      <c r="C45" s="90" t="s">
        <v>2886</v>
      </c>
      <c r="D45" s="90"/>
      <c r="E45" s="90" t="s">
        <v>5915</v>
      </c>
      <c r="F45" s="90" t="s">
        <v>5832</v>
      </c>
      <c r="G45" s="90" t="s">
        <v>6508</v>
      </c>
    </row>
    <row r="46" spans="1:7" x14ac:dyDescent="0.35">
      <c r="A46" s="443" t="s">
        <v>4489</v>
      </c>
      <c r="B46" s="444" t="str">
        <f t="shared" si="1"/>
        <v>Indicates that data entry is OK and the undertaking can proceed to the next disclosure.</v>
      </c>
      <c r="C46" s="90" t="s">
        <v>2913</v>
      </c>
      <c r="D46" s="90" t="s">
        <v>6872</v>
      </c>
      <c r="E46" s="90" t="s">
        <v>6165</v>
      </c>
      <c r="F46" s="90" t="s">
        <v>7257</v>
      </c>
      <c r="G46" s="90" t="s">
        <v>5712</v>
      </c>
    </row>
    <row r="47" spans="1:7" x14ac:dyDescent="0.35">
      <c r="A47" s="443" t="s">
        <v>4490</v>
      </c>
      <c r="B47" s="444" t="str">
        <f t="shared" si="1"/>
        <v>No value can be entered in the cell.</v>
      </c>
      <c r="C47" s="90" t="s">
        <v>3063</v>
      </c>
      <c r="D47" s="90" t="s">
        <v>6057</v>
      </c>
      <c r="E47" s="90" t="s">
        <v>5916</v>
      </c>
      <c r="F47" s="90" t="s">
        <v>5833</v>
      </c>
      <c r="G47" s="90" t="s">
        <v>5713</v>
      </c>
    </row>
    <row r="48" spans="1:7" x14ac:dyDescent="0.35">
      <c r="A48" s="443" t="s">
        <v>4491</v>
      </c>
      <c r="B48" s="444" t="str">
        <f t="shared" si="1"/>
        <v>Lists can be expanded using the plus [+] button on the left. If the number of rows is not sufficient, additional rows can be added by right clicking the second row and selecting "Insert row".</v>
      </c>
      <c r="C48" s="90" t="s">
        <v>3016</v>
      </c>
      <c r="D48" s="90" t="s">
        <v>6873</v>
      </c>
      <c r="E48" s="90" t="s">
        <v>6166</v>
      </c>
      <c r="F48" s="90" t="s">
        <v>7258</v>
      </c>
      <c r="G48" s="90" t="s">
        <v>6569</v>
      </c>
    </row>
    <row r="49" spans="1:7" x14ac:dyDescent="0.35">
      <c r="A49" s="443" t="s">
        <v>4492</v>
      </c>
      <c r="B49" s="444" t="str">
        <f t="shared" si="1"/>
        <v>EFRAG is funded by the European Union through the Single Market Programme in which the EEA-EFTA countries (Norway, Iceland and Liechtenstein), as well as Kosovo participate. Any views and opinions expressed are however those of the author(s) only and do not necessarily reflect those of the European Union, the European Commission or of countries that participate in the Single Market Programme. Neither the European Union, the European Commission nor countries participating in the Single market Programme can be held responsible for them. © 2025 EFRAG All rights reserved.</v>
      </c>
      <c r="C49" s="90" t="s">
        <v>2923</v>
      </c>
      <c r="D49" s="90" t="s">
        <v>6874</v>
      </c>
      <c r="E49" s="90" t="s">
        <v>6167</v>
      </c>
      <c r="F49" s="90" t="s">
        <v>7259</v>
      </c>
      <c r="G49" s="90" t="s">
        <v>6570</v>
      </c>
    </row>
    <row r="50" spans="1:7" s="12" customFormat="1" ht="15" thickBot="1" x14ac:dyDescent="0.4">
      <c r="A50" s="455" t="s">
        <v>4493</v>
      </c>
      <c r="B50" s="478" t="str">
        <f t="shared" si="1"/>
        <v>Reproduction and use rights are strictly limited. For further details please contact efragsecretariat@efrag.org</v>
      </c>
      <c r="C50" s="445" t="s">
        <v>2922</v>
      </c>
      <c r="D50" s="445" t="s">
        <v>6875</v>
      </c>
      <c r="E50" s="445" t="s">
        <v>6168</v>
      </c>
      <c r="F50" s="445" t="s">
        <v>7260</v>
      </c>
      <c r="G50" s="445" t="s">
        <v>6571</v>
      </c>
    </row>
    <row r="51" spans="1:7" x14ac:dyDescent="0.35">
      <c r="A51" s="443" t="s">
        <v>4406</v>
      </c>
      <c r="B51" s="444" t="str">
        <f t="shared" si="1"/>
        <v>Overall Validation Status</v>
      </c>
      <c r="C51" s="443" t="s">
        <v>3662</v>
      </c>
      <c r="D51" s="90" t="s">
        <v>6876</v>
      </c>
      <c r="E51" s="90" t="s">
        <v>6169</v>
      </c>
      <c r="F51" s="90" t="s">
        <v>7261</v>
      </c>
      <c r="G51" s="90" t="s">
        <v>6572</v>
      </c>
    </row>
    <row r="52" spans="1:7" x14ac:dyDescent="0.35">
      <c r="A52" s="443" t="s">
        <v>4407</v>
      </c>
      <c r="B52" s="444" t="str">
        <f t="shared" si="1"/>
        <v>Table of Contents</v>
      </c>
      <c r="C52" s="443" t="s">
        <v>3663</v>
      </c>
      <c r="D52" s="90" t="s">
        <v>5995</v>
      </c>
      <c r="E52" s="90" t="s">
        <v>5909</v>
      </c>
      <c r="F52" s="90" t="s">
        <v>5828</v>
      </c>
      <c r="G52" s="90" t="s">
        <v>5828</v>
      </c>
    </row>
    <row r="53" spans="1:7" x14ac:dyDescent="0.35">
      <c r="A53" s="443" t="s">
        <v>4408</v>
      </c>
      <c r="B53" s="444" t="str">
        <f t="shared" si="1"/>
        <v>Contents grouping follows template's framework</v>
      </c>
      <c r="C53" s="443" t="s">
        <v>3664</v>
      </c>
      <c r="D53" s="90" t="s">
        <v>6877</v>
      </c>
      <c r="E53" s="90" t="s">
        <v>6170</v>
      </c>
      <c r="F53" s="90" t="s">
        <v>7262</v>
      </c>
      <c r="G53" s="90" t="s">
        <v>6573</v>
      </c>
    </row>
    <row r="54" spans="1:7" x14ac:dyDescent="0.35">
      <c r="A54" s="443" t="s">
        <v>4409</v>
      </c>
      <c r="B54" s="444" t="str">
        <f t="shared" si="1"/>
        <v>Specific Content Validation Status</v>
      </c>
      <c r="C54" s="443" t="s">
        <v>3665</v>
      </c>
      <c r="D54" s="90" t="s">
        <v>5999</v>
      </c>
      <c r="E54" s="90" t="s">
        <v>6171</v>
      </c>
      <c r="F54" s="90" t="s">
        <v>7263</v>
      </c>
      <c r="G54" s="90" t="s">
        <v>6574</v>
      </c>
    </row>
    <row r="55" spans="1:7" x14ac:dyDescent="0.35">
      <c r="A55" s="443" t="s">
        <v>4410</v>
      </c>
      <c r="B55" s="444" t="str">
        <f t="shared" si="1"/>
        <v>General Information</v>
      </c>
      <c r="C55" s="443" t="s">
        <v>3666</v>
      </c>
      <c r="D55" s="90" t="s">
        <v>6878</v>
      </c>
      <c r="E55" s="90" t="s">
        <v>5917</v>
      </c>
      <c r="F55" s="90" t="s">
        <v>7264</v>
      </c>
      <c r="G55" s="90" t="s">
        <v>5714</v>
      </c>
    </row>
    <row r="56" spans="1:7" x14ac:dyDescent="0.35">
      <c r="A56" s="443" t="s">
        <v>4405</v>
      </c>
      <c r="B56" s="444" t="str">
        <f t="shared" si="1"/>
        <v>· Information on the report necessary for  XBRL</v>
      </c>
      <c r="C56" s="443" t="s">
        <v>3686</v>
      </c>
      <c r="D56" s="90" t="s">
        <v>6879</v>
      </c>
      <c r="E56" s="90" t="s">
        <v>6172</v>
      </c>
      <c r="F56" s="90" t="s">
        <v>7597</v>
      </c>
      <c r="G56" s="90" t="s">
        <v>6575</v>
      </c>
    </row>
    <row r="57" spans="1:7" x14ac:dyDescent="0.35">
      <c r="A57" s="443" t="s">
        <v>4411</v>
      </c>
      <c r="B57" s="444" t="str">
        <f t="shared" si="1"/>
        <v>· Information on previous reporting period</v>
      </c>
      <c r="C57" s="443" t="s">
        <v>3687</v>
      </c>
      <c r="D57" s="90" t="s">
        <v>6000</v>
      </c>
      <c r="E57" s="90" t="s">
        <v>6173</v>
      </c>
      <c r="F57" s="90" t="s">
        <v>7266</v>
      </c>
      <c r="G57" s="90" t="s">
        <v>6576</v>
      </c>
    </row>
    <row r="58" spans="1:7" x14ac:dyDescent="0.35">
      <c r="A58" s="443" t="s">
        <v>4412</v>
      </c>
      <c r="B58" s="444" t="str">
        <f t="shared" si="1"/>
        <v>Basic Module</v>
      </c>
      <c r="C58" s="443" t="s">
        <v>2884</v>
      </c>
      <c r="D58" s="90" t="s">
        <v>6863</v>
      </c>
      <c r="E58" s="90" t="s">
        <v>5913</v>
      </c>
      <c r="F58" s="90" t="s">
        <v>7250</v>
      </c>
      <c r="G58" s="90" t="s">
        <v>5710</v>
      </c>
    </row>
    <row r="59" spans="1:7" x14ac:dyDescent="0.35">
      <c r="A59" s="443" t="s">
        <v>4413</v>
      </c>
      <c r="B59" s="444" t="str">
        <f t="shared" si="1"/>
        <v>· B1 - Basis for Preparation</v>
      </c>
      <c r="C59" s="443" t="s">
        <v>3688</v>
      </c>
      <c r="D59" s="90" t="s">
        <v>6880</v>
      </c>
      <c r="E59" s="90" t="s">
        <v>6174</v>
      </c>
      <c r="F59" s="90" t="s">
        <v>7591</v>
      </c>
      <c r="G59" s="90" t="s">
        <v>6577</v>
      </c>
    </row>
    <row r="60" spans="1:7" x14ac:dyDescent="0.35">
      <c r="A60" s="443" t="s">
        <v>4414</v>
      </c>
      <c r="B60" s="444" t="str">
        <f t="shared" si="1"/>
        <v>Basis for Preparation and other undertaking's general information</v>
      </c>
      <c r="C60" s="443" t="s">
        <v>4380</v>
      </c>
      <c r="D60" s="90" t="s">
        <v>6881</v>
      </c>
      <c r="E60" s="90" t="s">
        <v>6175</v>
      </c>
      <c r="F60" s="90" t="s">
        <v>7267</v>
      </c>
      <c r="G60" s="90" t="s">
        <v>6578</v>
      </c>
    </row>
    <row r="61" spans="1:7" x14ac:dyDescent="0.35">
      <c r="A61" s="443" t="s">
        <v>4415</v>
      </c>
      <c r="B61" s="444" t="str">
        <f t="shared" si="1"/>
        <v>List of subsidiaries</v>
      </c>
      <c r="C61" s="443" t="s">
        <v>4381</v>
      </c>
      <c r="D61" s="90" t="s">
        <v>6882</v>
      </c>
      <c r="E61" s="90" t="s">
        <v>6176</v>
      </c>
      <c r="F61" s="90" t="s">
        <v>7268</v>
      </c>
      <c r="G61" s="90" t="s">
        <v>6579</v>
      </c>
    </row>
    <row r="62" spans="1:7" x14ac:dyDescent="0.35">
      <c r="A62" s="443" t="s">
        <v>4416</v>
      </c>
      <c r="B62" s="444" t="str">
        <f t="shared" si="1"/>
        <v>Disclosure of sustainability-related certification(s) or label(s)</v>
      </c>
      <c r="C62" s="443" t="s">
        <v>4382</v>
      </c>
      <c r="D62" s="90" t="s">
        <v>6883</v>
      </c>
      <c r="E62" s="90" t="s">
        <v>6177</v>
      </c>
      <c r="F62" s="90" t="s">
        <v>7269</v>
      </c>
      <c r="G62" s="90" t="s">
        <v>6580</v>
      </c>
    </row>
    <row r="63" spans="1:7" x14ac:dyDescent="0.35">
      <c r="A63" s="443" t="s">
        <v>4417</v>
      </c>
      <c r="B63" s="444" t="str">
        <f t="shared" si="1"/>
        <v>List of site(s)</v>
      </c>
      <c r="C63" s="443" t="s">
        <v>4383</v>
      </c>
      <c r="D63" s="90" t="s">
        <v>6884</v>
      </c>
      <c r="E63" s="90" t="s">
        <v>6178</v>
      </c>
      <c r="F63" s="90" t="s">
        <v>7270</v>
      </c>
      <c r="G63" s="90" t="s">
        <v>6581</v>
      </c>
    </row>
    <row r="64" spans="1:7" x14ac:dyDescent="0.35">
      <c r="A64" s="443" t="s">
        <v>4418</v>
      </c>
      <c r="B64" s="444" t="str">
        <f t="shared" si="1"/>
        <v>· B2 - Practices, policies and future initiatives for transitioning towards a more sustainable economy</v>
      </c>
      <c r="C64" s="443" t="s">
        <v>3676</v>
      </c>
      <c r="D64" s="90" t="s">
        <v>6885</v>
      </c>
      <c r="E64" s="90" t="s">
        <v>5937</v>
      </c>
      <c r="F64" s="90" t="s">
        <v>7592</v>
      </c>
      <c r="G64" s="90" t="s">
        <v>5749</v>
      </c>
    </row>
    <row r="65" spans="1:7" x14ac:dyDescent="0.35">
      <c r="A65" s="443" t="s">
        <v>4419</v>
      </c>
      <c r="B65" s="444" t="str">
        <f t="shared" si="1"/>
        <v>Practices, policies and future initiatives for transitioning towards a more sustainable economy</v>
      </c>
      <c r="C65" s="443" t="s">
        <v>4384</v>
      </c>
      <c r="D65" s="90" t="s">
        <v>6885</v>
      </c>
      <c r="E65" s="90" t="s">
        <v>6075</v>
      </c>
      <c r="F65" s="90" t="s">
        <v>5834</v>
      </c>
      <c r="G65" s="90" t="s">
        <v>5715</v>
      </c>
    </row>
    <row r="66" spans="1:7" x14ac:dyDescent="0.35">
      <c r="A66" s="443" t="s">
        <v>4420</v>
      </c>
      <c r="B66" s="444" t="str">
        <f t="shared" si="1"/>
        <v>Cooperative specific disclosures</v>
      </c>
      <c r="C66" s="443" t="s">
        <v>4385</v>
      </c>
      <c r="D66" s="90" t="s">
        <v>6886</v>
      </c>
      <c r="E66" s="90" t="s">
        <v>6179</v>
      </c>
      <c r="F66" s="90" t="s">
        <v>7272</v>
      </c>
      <c r="G66" s="90" t="s">
        <v>6582</v>
      </c>
    </row>
    <row r="67" spans="1:7" x14ac:dyDescent="0.35">
      <c r="A67" s="443" t="s">
        <v>4421</v>
      </c>
      <c r="B67" s="444" t="str">
        <f t="shared" si="1"/>
        <v>Environmental Disclosures</v>
      </c>
      <c r="C67" s="443" t="s">
        <v>3667</v>
      </c>
      <c r="D67" s="90" t="s">
        <v>6887</v>
      </c>
      <c r="E67" s="90" t="s">
        <v>6180</v>
      </c>
      <c r="F67" s="90" t="s">
        <v>5835</v>
      </c>
      <c r="G67" s="90" t="s">
        <v>6583</v>
      </c>
    </row>
    <row r="68" spans="1:7" x14ac:dyDescent="0.35">
      <c r="A68" s="443" t="s">
        <v>4422</v>
      </c>
      <c r="B68" s="444" t="str">
        <f t="shared" ref="B68:B131" si="2">INDEX(C68:G68,MATCH(template_selected_display_language,$C$3:$G$3,0))</f>
        <v>· B3 - Energy and greenhouse gas emissions</v>
      </c>
      <c r="C68" s="443" t="s">
        <v>3692</v>
      </c>
      <c r="D68" s="90" t="s">
        <v>6888</v>
      </c>
      <c r="E68" s="90" t="s">
        <v>6181</v>
      </c>
      <c r="F68" s="90" t="s">
        <v>7593</v>
      </c>
      <c r="G68" s="90" t="s">
        <v>6584</v>
      </c>
    </row>
    <row r="69" spans="1:7" x14ac:dyDescent="0.35">
      <c r="A69" s="443" t="s">
        <v>4423</v>
      </c>
      <c r="B69" s="444" t="str">
        <f t="shared" si="2"/>
        <v>Total Energy Consumption (in MWh)</v>
      </c>
      <c r="C69" s="443" t="s">
        <v>4386</v>
      </c>
      <c r="D69" s="90" t="s">
        <v>6058</v>
      </c>
      <c r="E69" s="90" t="s">
        <v>5918</v>
      </c>
      <c r="F69" s="90" t="s">
        <v>7273</v>
      </c>
      <c r="G69" s="90" t="s">
        <v>5716</v>
      </c>
    </row>
    <row r="70" spans="1:7" x14ac:dyDescent="0.35">
      <c r="A70" s="443" t="s">
        <v>4424</v>
      </c>
      <c r="B70" s="444" t="str">
        <f t="shared" si="2"/>
        <v>Breakdown of energy consumption (in MWh)</v>
      </c>
      <c r="C70" s="443" t="s">
        <v>4387</v>
      </c>
      <c r="D70" s="90" t="s">
        <v>6889</v>
      </c>
      <c r="E70" s="90" t="s">
        <v>5919</v>
      </c>
      <c r="F70" s="90" t="s">
        <v>7274</v>
      </c>
      <c r="G70" s="90" t="s">
        <v>5717</v>
      </c>
    </row>
    <row r="71" spans="1:7" x14ac:dyDescent="0.35">
      <c r="A71" s="443" t="s">
        <v>4425</v>
      </c>
      <c r="B71" s="444" t="str">
        <f t="shared" si="2"/>
        <v>Estimated Greenhouse Gas Emissions considering the GHG Protocol Version 2004 (in tCO2e)</v>
      </c>
      <c r="C71" s="443" t="s">
        <v>4388</v>
      </c>
      <c r="D71" s="90" t="s">
        <v>6890</v>
      </c>
      <c r="E71" s="90" t="s">
        <v>6182</v>
      </c>
      <c r="F71" s="90" t="s">
        <v>7275</v>
      </c>
      <c r="G71" s="90" t="s">
        <v>6585</v>
      </c>
    </row>
    <row r="72" spans="1:7" x14ac:dyDescent="0.35">
      <c r="A72" s="443" t="s">
        <v>4426</v>
      </c>
      <c r="B72" s="444" t="str">
        <f t="shared" si="2"/>
        <v>Greenhouse gas emission intensity per turnover</v>
      </c>
      <c r="C72" s="443" t="s">
        <v>4389</v>
      </c>
      <c r="D72" s="90" t="s">
        <v>6891</v>
      </c>
      <c r="E72" s="90" t="s">
        <v>6183</v>
      </c>
      <c r="F72" s="90" t="s">
        <v>5836</v>
      </c>
      <c r="G72" s="90" t="s">
        <v>6586</v>
      </c>
    </row>
    <row r="73" spans="1:7" x14ac:dyDescent="0.35">
      <c r="A73" s="443" t="s">
        <v>4427</v>
      </c>
      <c r="B73" s="444" t="str">
        <f t="shared" si="2"/>
        <v>· B4 - Pollution of air, water and soil</v>
      </c>
      <c r="C73" s="443" t="s">
        <v>3693</v>
      </c>
      <c r="D73" s="90" t="s">
        <v>6892</v>
      </c>
      <c r="E73" s="90" t="s">
        <v>5958</v>
      </c>
      <c r="F73" s="90" t="s">
        <v>7594</v>
      </c>
      <c r="G73" s="90" t="s">
        <v>6587</v>
      </c>
    </row>
    <row r="74" spans="1:7" x14ac:dyDescent="0.35">
      <c r="A74" s="443" t="s">
        <v>4428</v>
      </c>
      <c r="B74" s="444" t="str">
        <f t="shared" si="2"/>
        <v>· B5 - Biodiversity</v>
      </c>
      <c r="C74" s="443" t="s">
        <v>3670</v>
      </c>
      <c r="D74" s="90" t="s">
        <v>6893</v>
      </c>
      <c r="E74" s="90" t="s">
        <v>6184</v>
      </c>
      <c r="F74" s="90" t="s">
        <v>7595</v>
      </c>
      <c r="G74" s="90" t="s">
        <v>6588</v>
      </c>
    </row>
    <row r="75" spans="1:7" x14ac:dyDescent="0.35">
      <c r="A75" s="443" t="s">
        <v>4429</v>
      </c>
      <c r="B75" s="444" t="str">
        <f t="shared" si="2"/>
        <v>Sites in biodiversity sensitive areas</v>
      </c>
      <c r="C75" s="443" t="s">
        <v>4390</v>
      </c>
      <c r="D75" s="90" t="s">
        <v>6894</v>
      </c>
      <c r="E75" s="90" t="s">
        <v>6185</v>
      </c>
      <c r="F75" s="90" t="s">
        <v>7277</v>
      </c>
      <c r="G75" s="90" t="s">
        <v>6589</v>
      </c>
    </row>
    <row r="76" spans="1:7" x14ac:dyDescent="0.35">
      <c r="A76" s="443" t="s">
        <v>4430</v>
      </c>
      <c r="B76" s="444" t="str">
        <f t="shared" si="2"/>
        <v>Biodiversity - Land-use</v>
      </c>
      <c r="C76" s="443" t="s">
        <v>4391</v>
      </c>
      <c r="D76" s="90" t="s">
        <v>6895</v>
      </c>
      <c r="E76" s="90" t="s">
        <v>6186</v>
      </c>
      <c r="F76" s="90" t="s">
        <v>5837</v>
      </c>
      <c r="G76" s="90" t="s">
        <v>5718</v>
      </c>
    </row>
    <row r="77" spans="1:7" x14ac:dyDescent="0.35">
      <c r="A77" s="443" t="s">
        <v>4431</v>
      </c>
      <c r="B77" s="444" t="str">
        <f t="shared" si="2"/>
        <v>· B6 - Water</v>
      </c>
      <c r="C77" s="443" t="s">
        <v>3694</v>
      </c>
      <c r="D77" s="90" t="s">
        <v>6896</v>
      </c>
      <c r="E77" s="90" t="s">
        <v>6187</v>
      </c>
      <c r="F77" s="90" t="s">
        <v>7596</v>
      </c>
      <c r="G77" s="90" t="s">
        <v>6590</v>
      </c>
    </row>
    <row r="78" spans="1:7" x14ac:dyDescent="0.35">
      <c r="A78" s="443" t="s">
        <v>4432</v>
      </c>
      <c r="B78" s="444" t="str">
        <f t="shared" si="2"/>
        <v>Water Withdrawal</v>
      </c>
      <c r="C78" s="443" t="s">
        <v>4392</v>
      </c>
      <c r="D78" s="90" t="s">
        <v>6897</v>
      </c>
      <c r="E78" s="90" t="s">
        <v>5920</v>
      </c>
      <c r="F78" s="90" t="s">
        <v>7278</v>
      </c>
      <c r="G78" s="90" t="s">
        <v>5719</v>
      </c>
    </row>
    <row r="79" spans="1:7" x14ac:dyDescent="0.35">
      <c r="A79" s="443" t="s">
        <v>4433</v>
      </c>
      <c r="B79" s="444" t="str">
        <f t="shared" si="2"/>
        <v>Water Consumption</v>
      </c>
      <c r="C79" s="443" t="s">
        <v>4393</v>
      </c>
      <c r="D79" s="90" t="s">
        <v>6001</v>
      </c>
      <c r="E79" s="90" t="s">
        <v>5921</v>
      </c>
      <c r="F79" s="90" t="s">
        <v>7279</v>
      </c>
      <c r="G79" s="90" t="s">
        <v>5720</v>
      </c>
    </row>
    <row r="80" spans="1:7" x14ac:dyDescent="0.35">
      <c r="A80" s="443" t="s">
        <v>4434</v>
      </c>
      <c r="B80" s="444" t="str">
        <f t="shared" si="2"/>
        <v>· B7 - Resource use, circular economy and waste management</v>
      </c>
      <c r="C80" s="443" t="s">
        <v>3695</v>
      </c>
      <c r="D80" s="90" t="s">
        <v>6898</v>
      </c>
      <c r="E80" s="90" t="s">
        <v>6188</v>
      </c>
      <c r="F80" s="90" t="s">
        <v>7586</v>
      </c>
      <c r="G80" s="90" t="s">
        <v>6591</v>
      </c>
    </row>
    <row r="81" spans="1:7" x14ac:dyDescent="0.35">
      <c r="A81" s="443" t="s">
        <v>4435</v>
      </c>
      <c r="B81" s="444" t="str">
        <f t="shared" si="2"/>
        <v>Description of circular economy principles</v>
      </c>
      <c r="C81" s="443" t="s">
        <v>4394</v>
      </c>
      <c r="D81" s="90" t="s">
        <v>6002</v>
      </c>
      <c r="E81" s="90" t="s">
        <v>6188</v>
      </c>
      <c r="F81" s="90" t="s">
        <v>5838</v>
      </c>
      <c r="G81" s="90" t="s">
        <v>5721</v>
      </c>
    </row>
    <row r="82" spans="1:7" x14ac:dyDescent="0.35">
      <c r="A82" s="443" t="s">
        <v>4436</v>
      </c>
      <c r="B82" s="444" t="str">
        <f t="shared" si="2"/>
        <v>Waste generated</v>
      </c>
      <c r="C82" s="443" t="s">
        <v>4395</v>
      </c>
      <c r="D82" s="90" t="s">
        <v>6003</v>
      </c>
      <c r="E82" s="90" t="s">
        <v>6189</v>
      </c>
      <c r="F82" s="90" t="s">
        <v>7280</v>
      </c>
      <c r="G82" s="90" t="s">
        <v>5722</v>
      </c>
    </row>
    <row r="83" spans="1:7" x14ac:dyDescent="0.35">
      <c r="A83" s="443" t="s">
        <v>4437</v>
      </c>
      <c r="B83" s="444" t="str">
        <f t="shared" si="2"/>
        <v>Annual mass-flow of relevant materials used</v>
      </c>
      <c r="C83" s="443" t="s">
        <v>4396</v>
      </c>
      <c r="D83" s="90" t="s">
        <v>6899</v>
      </c>
      <c r="E83" s="90" t="s">
        <v>6190</v>
      </c>
      <c r="F83" s="90" t="s">
        <v>7281</v>
      </c>
      <c r="G83" s="90" t="s">
        <v>6592</v>
      </c>
    </row>
    <row r="84" spans="1:7" x14ac:dyDescent="0.35">
      <c r="A84" s="443" t="s">
        <v>4438</v>
      </c>
      <c r="B84" s="444" t="str">
        <f t="shared" si="2"/>
        <v>Social Disclosures</v>
      </c>
      <c r="C84" s="443" t="s">
        <v>3668</v>
      </c>
      <c r="D84" s="90" t="s">
        <v>6900</v>
      </c>
      <c r="E84" s="90" t="s">
        <v>6191</v>
      </c>
      <c r="F84" s="90" t="s">
        <v>7282</v>
      </c>
      <c r="G84" s="90" t="s">
        <v>6593</v>
      </c>
    </row>
    <row r="85" spans="1:7" x14ac:dyDescent="0.35">
      <c r="A85" s="443" t="s">
        <v>4439</v>
      </c>
      <c r="B85" s="444" t="str">
        <f t="shared" si="2"/>
        <v>· B8 - Workforce - General characteristics</v>
      </c>
      <c r="C85" s="443" t="s">
        <v>3698</v>
      </c>
      <c r="D85" s="90" t="s">
        <v>6901</v>
      </c>
      <c r="E85" s="90" t="s">
        <v>6192</v>
      </c>
      <c r="F85" s="90" t="s">
        <v>7585</v>
      </c>
      <c r="G85" s="90" t="s">
        <v>6594</v>
      </c>
    </row>
    <row r="86" spans="1:7" x14ac:dyDescent="0.35">
      <c r="A86" s="443" t="s">
        <v>4440</v>
      </c>
      <c r="B86" s="444" t="str">
        <f t="shared" si="2"/>
        <v>Type of contract</v>
      </c>
      <c r="C86" s="443" t="s">
        <v>22</v>
      </c>
      <c r="D86" s="90" t="s">
        <v>6902</v>
      </c>
      <c r="E86" s="90" t="s">
        <v>5922</v>
      </c>
      <c r="F86" s="90" t="s">
        <v>5723</v>
      </c>
      <c r="G86" s="90" t="s">
        <v>5723</v>
      </c>
    </row>
    <row r="87" spans="1:7" x14ac:dyDescent="0.35">
      <c r="A87" s="443" t="s">
        <v>4441</v>
      </c>
      <c r="B87" s="444" t="str">
        <f t="shared" si="2"/>
        <v>Gender</v>
      </c>
      <c r="C87" s="443" t="s">
        <v>25</v>
      </c>
      <c r="D87" s="90" t="s">
        <v>6004</v>
      </c>
      <c r="E87" s="90" t="s">
        <v>5923</v>
      </c>
      <c r="F87" s="90" t="s">
        <v>5724</v>
      </c>
      <c r="G87" s="90" t="s">
        <v>5724</v>
      </c>
    </row>
    <row r="88" spans="1:7" x14ac:dyDescent="0.35">
      <c r="A88" s="443" t="s">
        <v>4442</v>
      </c>
      <c r="B88" s="444" t="str">
        <f t="shared" si="2"/>
        <v>Country of employment</v>
      </c>
      <c r="C88" s="443" t="s">
        <v>4397</v>
      </c>
      <c r="D88" s="90" t="s">
        <v>6903</v>
      </c>
      <c r="E88" s="90" t="s">
        <v>5924</v>
      </c>
      <c r="F88" s="90" t="s">
        <v>5839</v>
      </c>
      <c r="G88" s="90" t="s">
        <v>5725</v>
      </c>
    </row>
    <row r="89" spans="1:7" x14ac:dyDescent="0.35">
      <c r="A89" s="443" t="s">
        <v>4443</v>
      </c>
      <c r="B89" s="444" t="str">
        <f t="shared" si="2"/>
        <v>Turnover rate</v>
      </c>
      <c r="C89" s="443" t="s">
        <v>4398</v>
      </c>
      <c r="D89" s="90" t="s">
        <v>6005</v>
      </c>
      <c r="E89" s="90" t="s">
        <v>5925</v>
      </c>
      <c r="F89" s="90" t="s">
        <v>5840</v>
      </c>
      <c r="G89" s="90" t="s">
        <v>5726</v>
      </c>
    </row>
    <row r="90" spans="1:7" x14ac:dyDescent="0.35">
      <c r="A90" s="443" t="s">
        <v>4444</v>
      </c>
      <c r="B90" s="444" t="str">
        <f t="shared" si="2"/>
        <v>· B9 - Workforce – Health and safety</v>
      </c>
      <c r="C90" s="443" t="s">
        <v>3699</v>
      </c>
      <c r="D90" s="90" t="s">
        <v>6904</v>
      </c>
      <c r="E90" s="90" t="s">
        <v>6193</v>
      </c>
      <c r="F90" s="90" t="s">
        <v>7584</v>
      </c>
      <c r="G90" s="90" t="s">
        <v>6595</v>
      </c>
    </row>
    <row r="91" spans="1:7" x14ac:dyDescent="0.35">
      <c r="A91" s="443" t="s">
        <v>4445</v>
      </c>
      <c r="B91" s="444" t="str">
        <f t="shared" si="2"/>
        <v>· B10 - Workforce – Remuneration, collective bargaining and training</v>
      </c>
      <c r="C91" s="443" t="s">
        <v>4399</v>
      </c>
      <c r="D91" s="90" t="s">
        <v>6905</v>
      </c>
      <c r="E91" s="90" t="s">
        <v>6194</v>
      </c>
      <c r="F91" s="90" t="s">
        <v>6094</v>
      </c>
      <c r="G91" s="90" t="s">
        <v>6596</v>
      </c>
    </row>
    <row r="92" spans="1:7" x14ac:dyDescent="0.35">
      <c r="A92" s="443" t="s">
        <v>4446</v>
      </c>
      <c r="B92" s="444" t="str">
        <f t="shared" si="2"/>
        <v>Governance Disclosures</v>
      </c>
      <c r="C92" s="443" t="s">
        <v>3669</v>
      </c>
      <c r="D92" s="90" t="s">
        <v>6906</v>
      </c>
      <c r="E92" s="90" t="s">
        <v>6195</v>
      </c>
      <c r="F92" s="90" t="s">
        <v>7284</v>
      </c>
      <c r="G92" s="90" t="s">
        <v>6509</v>
      </c>
    </row>
    <row r="93" spans="1:7" x14ac:dyDescent="0.35">
      <c r="A93" s="443" t="s">
        <v>4447</v>
      </c>
      <c r="B93" s="444" t="str">
        <f t="shared" si="2"/>
        <v>· B11 - Convictions and fines for corruption and bribery</v>
      </c>
      <c r="C93" s="443" t="s">
        <v>3704</v>
      </c>
      <c r="D93" s="90" t="s">
        <v>6907</v>
      </c>
      <c r="E93" s="90" t="s">
        <v>6196</v>
      </c>
      <c r="F93" s="90" t="s">
        <v>7583</v>
      </c>
      <c r="G93" s="90" t="s">
        <v>6107</v>
      </c>
    </row>
    <row r="94" spans="1:7" x14ac:dyDescent="0.35">
      <c r="A94" s="443" t="s">
        <v>4448</v>
      </c>
      <c r="B94" s="444" t="str">
        <f t="shared" si="2"/>
        <v>Comprehensive Module</v>
      </c>
      <c r="C94" s="443" t="s">
        <v>2885</v>
      </c>
      <c r="D94" s="90" t="s">
        <v>6908</v>
      </c>
      <c r="E94" s="90" t="s">
        <v>6158</v>
      </c>
      <c r="F94" s="90" t="s">
        <v>7285</v>
      </c>
      <c r="G94" s="90" t="s">
        <v>5711</v>
      </c>
    </row>
    <row r="95" spans="1:7" x14ac:dyDescent="0.35">
      <c r="A95" s="443" t="s">
        <v>4449</v>
      </c>
      <c r="B95" s="444" t="str">
        <f t="shared" si="2"/>
        <v>· C1 - Strategy: Business Model and Sustainability – Related Initiatives</v>
      </c>
      <c r="C95" s="443" t="s">
        <v>3689</v>
      </c>
      <c r="D95" s="90" t="s">
        <v>6909</v>
      </c>
      <c r="E95" s="90" t="s">
        <v>6197</v>
      </c>
      <c r="F95" s="90" t="s">
        <v>7286</v>
      </c>
      <c r="G95" s="90" t="s">
        <v>6532</v>
      </c>
    </row>
    <row r="96" spans="1:7" x14ac:dyDescent="0.35">
      <c r="A96" s="443" t="s">
        <v>4450</v>
      </c>
      <c r="B96" s="444" t="str">
        <f t="shared" si="2"/>
        <v>· C2 - Description of practices, policies and future initiatives for transitioning towards a more sustainable economy</v>
      </c>
      <c r="C96" s="443" t="s">
        <v>3690</v>
      </c>
      <c r="D96" s="90" t="s">
        <v>6910</v>
      </c>
      <c r="E96" s="90" t="s">
        <v>5942</v>
      </c>
      <c r="F96" s="90" t="s">
        <v>5841</v>
      </c>
      <c r="G96" s="90" t="s">
        <v>6824</v>
      </c>
    </row>
    <row r="97" spans="1:7" x14ac:dyDescent="0.35">
      <c r="A97" s="443" t="s">
        <v>4451</v>
      </c>
      <c r="B97" s="444" t="str">
        <f t="shared" si="2"/>
        <v>· C3 - GHG reduction targets and climate transition</v>
      </c>
      <c r="C97" s="443" t="s">
        <v>3696</v>
      </c>
      <c r="D97" s="90" t="s">
        <v>6911</v>
      </c>
      <c r="E97" s="90" t="s">
        <v>6198</v>
      </c>
      <c r="F97" s="90" t="s">
        <v>7287</v>
      </c>
      <c r="G97" s="90" t="s">
        <v>6598</v>
      </c>
    </row>
    <row r="98" spans="1:7" x14ac:dyDescent="0.35">
      <c r="A98" s="443" t="s">
        <v>4452</v>
      </c>
      <c r="B98" s="444" t="str">
        <f t="shared" si="2"/>
        <v>GHG reduction targets (in tC02e)</v>
      </c>
      <c r="C98" s="443" t="s">
        <v>4400</v>
      </c>
      <c r="D98" s="90" t="s">
        <v>6912</v>
      </c>
      <c r="E98" s="90" t="s">
        <v>6199</v>
      </c>
      <c r="F98" s="90" t="s">
        <v>7344</v>
      </c>
      <c r="G98" s="90" t="s">
        <v>6599</v>
      </c>
    </row>
    <row r="99" spans="1:7" x14ac:dyDescent="0.35">
      <c r="A99" s="443" t="s">
        <v>4453</v>
      </c>
      <c r="B99" s="444" t="str">
        <f t="shared" si="2"/>
        <v>Disclosure of list of main actions the entity seeks in order  to achieve its targets</v>
      </c>
      <c r="C99" s="443" t="s">
        <v>4401</v>
      </c>
      <c r="D99" s="90" t="s">
        <v>6913</v>
      </c>
      <c r="E99" s="90" t="s">
        <v>6200</v>
      </c>
      <c r="F99" s="90" t="s">
        <v>7288</v>
      </c>
      <c r="G99" s="90" t="s">
        <v>6600</v>
      </c>
    </row>
    <row r="100" spans="1:7" x14ac:dyDescent="0.35">
      <c r="A100" s="443" t="s">
        <v>4454</v>
      </c>
      <c r="B100" s="444" t="str">
        <f t="shared" si="2"/>
        <v>Transition plan for undertakings operating in high climate impact sectors</v>
      </c>
      <c r="C100" s="443" t="s">
        <v>4402</v>
      </c>
      <c r="D100" s="90" t="s">
        <v>6914</v>
      </c>
      <c r="E100" s="90" t="s">
        <v>6201</v>
      </c>
      <c r="F100" s="90" t="s">
        <v>5842</v>
      </c>
      <c r="G100" s="90" t="s">
        <v>6601</v>
      </c>
    </row>
    <row r="101" spans="1:7" x14ac:dyDescent="0.35">
      <c r="A101" s="443" t="s">
        <v>4455</v>
      </c>
      <c r="B101" s="444" t="str">
        <f t="shared" si="2"/>
        <v>· C4 - Climate risks</v>
      </c>
      <c r="C101" s="443" t="s">
        <v>3697</v>
      </c>
      <c r="D101" s="90" t="s">
        <v>6915</v>
      </c>
      <c r="E101" s="90" t="s">
        <v>6202</v>
      </c>
      <c r="F101" s="90" t="s">
        <v>7582</v>
      </c>
      <c r="G101" s="90" t="s">
        <v>5727</v>
      </c>
    </row>
    <row r="102" spans="1:7" x14ac:dyDescent="0.35">
      <c r="A102" s="443" t="s">
        <v>4456</v>
      </c>
      <c r="B102" s="444" t="str">
        <f t="shared" si="2"/>
        <v>· C5 - Additional (general) workforce characteristics</v>
      </c>
      <c r="C102" s="443" t="s">
        <v>3700</v>
      </c>
      <c r="D102" s="90" t="s">
        <v>6916</v>
      </c>
      <c r="E102" s="90" t="s">
        <v>6203</v>
      </c>
      <c r="F102" s="90" t="s">
        <v>7290</v>
      </c>
      <c r="G102" s="90" t="s">
        <v>6602</v>
      </c>
    </row>
    <row r="103" spans="1:7" x14ac:dyDescent="0.35">
      <c r="A103" s="443" t="s">
        <v>4457</v>
      </c>
      <c r="B103" s="444" t="str">
        <f t="shared" si="2"/>
        <v>· C6 - Additional own workforce information - Human rights policies and processes</v>
      </c>
      <c r="C103" s="443" t="s">
        <v>3701</v>
      </c>
      <c r="D103" s="90" t="s">
        <v>6917</v>
      </c>
      <c r="E103" s="90" t="s">
        <v>6204</v>
      </c>
      <c r="F103" s="90" t="s">
        <v>7291</v>
      </c>
      <c r="G103" s="90" t="s">
        <v>6603</v>
      </c>
    </row>
    <row r="104" spans="1:7" x14ac:dyDescent="0.35">
      <c r="A104" s="443" t="s">
        <v>4458</v>
      </c>
      <c r="B104" s="444" t="str">
        <f t="shared" si="2"/>
        <v>· C7 - Severe negative human rights incidents</v>
      </c>
      <c r="C104" s="443" t="s">
        <v>3702</v>
      </c>
      <c r="D104" s="90" t="s">
        <v>6918</v>
      </c>
      <c r="E104" s="90" t="s">
        <v>6205</v>
      </c>
      <c r="F104" s="90" t="s">
        <v>7292</v>
      </c>
      <c r="G104" s="90" t="s">
        <v>6604</v>
      </c>
    </row>
    <row r="105" spans="1:7" x14ac:dyDescent="0.35">
      <c r="A105" s="443" t="s">
        <v>4459</v>
      </c>
      <c r="B105" s="444" t="str">
        <f t="shared" si="2"/>
        <v>· C8 - Revenues from certain activities and exclusion from EU reference benchmarks</v>
      </c>
      <c r="C105" s="443" t="s">
        <v>6491</v>
      </c>
      <c r="D105" s="90" t="s">
        <v>7229</v>
      </c>
      <c r="E105" s="90" t="s">
        <v>6206</v>
      </c>
      <c r="F105" s="90" t="s">
        <v>7606</v>
      </c>
      <c r="G105" s="90" t="s">
        <v>6838</v>
      </c>
    </row>
    <row r="106" spans="1:7" x14ac:dyDescent="0.35">
      <c r="A106" s="443" t="s">
        <v>4460</v>
      </c>
      <c r="B106" s="444" t="str">
        <f t="shared" si="2"/>
        <v>Revenues from certain activities</v>
      </c>
      <c r="C106" s="443" t="s">
        <v>6492</v>
      </c>
      <c r="D106" t="s">
        <v>7230</v>
      </c>
      <c r="E106" s="90" t="s">
        <v>6207</v>
      </c>
      <c r="F106" s="90" t="s">
        <v>7605</v>
      </c>
      <c r="G106" s="90" t="s">
        <v>6839</v>
      </c>
    </row>
    <row r="107" spans="1:7" x14ac:dyDescent="0.35">
      <c r="A107" s="443" t="s">
        <v>4461</v>
      </c>
      <c r="B107" s="444" t="str">
        <f t="shared" si="2"/>
        <v>Exclusion from EU reference benchmarks</v>
      </c>
      <c r="C107" s="443" t="s">
        <v>4403</v>
      </c>
      <c r="D107" s="90" t="s">
        <v>6919</v>
      </c>
      <c r="E107" s="90" t="s">
        <v>5926</v>
      </c>
      <c r="F107" s="90" t="s">
        <v>5843</v>
      </c>
      <c r="G107" s="90" t="s">
        <v>5728</v>
      </c>
    </row>
    <row r="108" spans="1:7" x14ac:dyDescent="0.35">
      <c r="A108" s="443" t="s">
        <v>4462</v>
      </c>
      <c r="B108" s="444" t="str">
        <f t="shared" si="2"/>
        <v>· C9 - Gender diversity ratio in the governance body</v>
      </c>
      <c r="C108" s="443" t="s">
        <v>3705</v>
      </c>
      <c r="D108" s="90" t="s">
        <v>6920</v>
      </c>
      <c r="E108" s="90" t="s">
        <v>6208</v>
      </c>
      <c r="F108" s="90" t="s">
        <v>5844</v>
      </c>
      <c r="G108" s="90" t="s">
        <v>6605</v>
      </c>
    </row>
    <row r="109" spans="1:7" x14ac:dyDescent="0.35">
      <c r="A109" s="443" t="s">
        <v>4463</v>
      </c>
      <c r="B109" s="444" t="str">
        <f t="shared" si="2"/>
        <v>Additional Disclosures</v>
      </c>
      <c r="C109" s="443" t="s">
        <v>3724</v>
      </c>
      <c r="D109" s="90" t="s">
        <v>6921</v>
      </c>
      <c r="E109" s="90" t="s">
        <v>6209</v>
      </c>
      <c r="F109" s="90" t="s">
        <v>7293</v>
      </c>
      <c r="G109" s="90" t="s">
        <v>5729</v>
      </c>
    </row>
    <row r="110" spans="1:7" x14ac:dyDescent="0.35">
      <c r="A110" s="443" t="s">
        <v>4464</v>
      </c>
      <c r="B110" s="444" t="str">
        <f t="shared" si="2"/>
        <v>· Disclosure of any other general and/or entity specific information on the reporting period</v>
      </c>
      <c r="C110" s="443" t="s">
        <v>3691</v>
      </c>
      <c r="D110" s="90" t="s">
        <v>6922</v>
      </c>
      <c r="E110" s="90" t="s">
        <v>6210</v>
      </c>
      <c r="F110" s="90" t="s">
        <v>7294</v>
      </c>
      <c r="G110" s="90" t="s">
        <v>6606</v>
      </c>
    </row>
    <row r="111" spans="1:7" x14ac:dyDescent="0.35">
      <c r="A111" s="443" t="s">
        <v>4465</v>
      </c>
      <c r="B111" s="444" t="str">
        <f t="shared" si="2"/>
        <v>· Disclosure of any other environmental and/or entity specific environmental disclosures</v>
      </c>
      <c r="C111" s="443" t="s">
        <v>4404</v>
      </c>
      <c r="D111" s="90" t="s">
        <v>6923</v>
      </c>
      <c r="E111" s="90" t="s">
        <v>6211</v>
      </c>
      <c r="F111" s="90" t="s">
        <v>7295</v>
      </c>
      <c r="G111" s="90" t="s">
        <v>6533</v>
      </c>
    </row>
    <row r="112" spans="1:7" x14ac:dyDescent="0.35">
      <c r="A112" s="443" t="s">
        <v>4466</v>
      </c>
      <c r="B112" s="444" t="str">
        <f t="shared" si="2"/>
        <v>· Disclosure of any other social and/or entity specific social disclosures</v>
      </c>
      <c r="C112" s="443" t="s">
        <v>3703</v>
      </c>
      <c r="D112" s="90" t="s">
        <v>6924</v>
      </c>
      <c r="E112" s="90" t="s">
        <v>6212</v>
      </c>
      <c r="F112" s="90" t="s">
        <v>7296</v>
      </c>
      <c r="G112" s="90" t="s">
        <v>6607</v>
      </c>
    </row>
    <row r="113" spans="1:7" s="12" customFormat="1" ht="15" thickBot="1" x14ac:dyDescent="0.4">
      <c r="A113" s="455" t="s">
        <v>4467</v>
      </c>
      <c r="B113" s="478" t="str">
        <f t="shared" si="2"/>
        <v>· Disclosure of any other governance and/or entity specific governance disclosures</v>
      </c>
      <c r="C113" s="455" t="s">
        <v>3706</v>
      </c>
      <c r="D113" s="445" t="s">
        <v>6925</v>
      </c>
      <c r="E113" s="445" t="s">
        <v>6213</v>
      </c>
      <c r="F113" s="445" t="s">
        <v>7297</v>
      </c>
      <c r="G113" s="445" t="s">
        <v>6534</v>
      </c>
    </row>
    <row r="114" spans="1:7" x14ac:dyDescent="0.35">
      <c r="A114" t="s">
        <v>4079</v>
      </c>
      <c r="B114" s="444" t="str">
        <f t="shared" si="2"/>
        <v>Paragraph Reference</v>
      </c>
      <c r="C114" t="s">
        <v>3730</v>
      </c>
      <c r="D114" s="90" t="s">
        <v>6006</v>
      </c>
      <c r="E114" s="90" t="s">
        <v>6214</v>
      </c>
      <c r="F114" s="90" t="s">
        <v>7298</v>
      </c>
      <c r="G114" s="90" t="s">
        <v>6608</v>
      </c>
    </row>
    <row r="115" spans="1:7" x14ac:dyDescent="0.35">
      <c r="A115" t="s">
        <v>4080</v>
      </c>
      <c r="B115" s="444" t="str">
        <f t="shared" si="2"/>
        <v>Paragraph Guidance Reference</v>
      </c>
      <c r="C115" t="s">
        <v>3729</v>
      </c>
      <c r="D115" s="90" t="s">
        <v>6926</v>
      </c>
      <c r="E115" s="90" t="s">
        <v>6215</v>
      </c>
      <c r="F115" s="90" t="s">
        <v>7299</v>
      </c>
      <c r="G115" s="90" t="s">
        <v>6510</v>
      </c>
    </row>
    <row r="116" spans="1:7" x14ac:dyDescent="0.35">
      <c r="A116" t="s">
        <v>4369</v>
      </c>
      <c r="B116" s="444" t="str">
        <f t="shared" si="2"/>
        <v>from</v>
      </c>
      <c r="C116" t="s">
        <v>4372</v>
      </c>
      <c r="D116" s="90" t="s">
        <v>6059</v>
      </c>
      <c r="E116" s="90" t="s">
        <v>5825</v>
      </c>
      <c r="F116" s="90" t="s">
        <v>4628</v>
      </c>
      <c r="G116" s="90" t="s">
        <v>4628</v>
      </c>
    </row>
    <row r="117" spans="1:7" x14ac:dyDescent="0.35">
      <c r="A117" t="s">
        <v>4370</v>
      </c>
      <c r="B117" s="444" t="str">
        <f t="shared" si="2"/>
        <v>to</v>
      </c>
      <c r="C117" t="s">
        <v>2930</v>
      </c>
      <c r="D117" s="90" t="s">
        <v>6007</v>
      </c>
      <c r="E117" s="90" t="s">
        <v>5693</v>
      </c>
      <c r="F117" s="90" t="s">
        <v>7300</v>
      </c>
      <c r="G117" s="90" t="s">
        <v>5700</v>
      </c>
    </row>
    <row r="118" spans="1:7" s="12" customFormat="1" ht="15" thickBot="1" x14ac:dyDescent="0.4">
      <c r="A118" s="12" t="s">
        <v>4371</v>
      </c>
      <c r="B118" s="478" t="str">
        <f t="shared" si="2"/>
        <v>at</v>
      </c>
      <c r="C118" s="12" t="s">
        <v>4373</v>
      </c>
      <c r="D118" s="445" t="s">
        <v>6927</v>
      </c>
      <c r="E118" s="445" t="s">
        <v>6216</v>
      </c>
      <c r="F118" s="445" t="s">
        <v>5845</v>
      </c>
      <c r="G118" s="445" t="s">
        <v>3950</v>
      </c>
    </row>
    <row r="119" spans="1:7" x14ac:dyDescent="0.35">
      <c r="A119" t="s">
        <v>4081</v>
      </c>
      <c r="B119" s="444" t="str">
        <f t="shared" si="2"/>
        <v>[Always to be reported]</v>
      </c>
      <c r="C119" t="s">
        <v>3992</v>
      </c>
      <c r="D119" s="90" t="s">
        <v>6928</v>
      </c>
      <c r="E119" s="90" t="s">
        <v>5927</v>
      </c>
      <c r="F119" s="90" t="s">
        <v>7301</v>
      </c>
      <c r="G119" s="90" t="s">
        <v>6511</v>
      </c>
    </row>
    <row r="120" spans="1:7" x14ac:dyDescent="0.35">
      <c r="A120" t="s">
        <v>4082</v>
      </c>
      <c r="B120" s="444" t="str">
        <f t="shared" si="2"/>
        <v>[If applicable]</v>
      </c>
      <c r="C120" t="s">
        <v>3996</v>
      </c>
      <c r="D120" s="90" t="s">
        <v>6929</v>
      </c>
      <c r="E120" s="90" t="s">
        <v>6217</v>
      </c>
      <c r="F120" s="90" t="s">
        <v>5846</v>
      </c>
      <c r="G120" s="90" t="s">
        <v>6609</v>
      </c>
    </row>
    <row r="121" spans="1:7" x14ac:dyDescent="0.35">
      <c r="A121" t="s">
        <v>4083</v>
      </c>
      <c r="B121" s="444" t="str">
        <f t="shared" si="2"/>
        <v>[May (optional)]</v>
      </c>
      <c r="C121" t="s">
        <v>3997</v>
      </c>
      <c r="D121" s="90" t="s">
        <v>6930</v>
      </c>
      <c r="E121" s="90" t="s">
        <v>5928</v>
      </c>
      <c r="F121" s="90" t="s">
        <v>7302</v>
      </c>
      <c r="G121" s="90" t="s">
        <v>6512</v>
      </c>
    </row>
    <row r="122" spans="1:7" x14ac:dyDescent="0.35">
      <c r="A122" t="s">
        <v>4379</v>
      </c>
      <c r="B122" s="444" t="str">
        <f t="shared" si="2"/>
        <v>May (optional)</v>
      </c>
      <c r="C122" t="s">
        <v>4378</v>
      </c>
      <c r="D122" s="90" t="s">
        <v>6931</v>
      </c>
      <c r="E122" s="90" t="s">
        <v>5929</v>
      </c>
      <c r="F122" s="90" t="s">
        <v>7302</v>
      </c>
      <c r="G122" s="90" t="s">
        <v>6513</v>
      </c>
    </row>
    <row r="123" spans="1:7" x14ac:dyDescent="0.35">
      <c r="A123" t="s">
        <v>4084</v>
      </c>
      <c r="B123" s="444" t="str">
        <f t="shared" si="2"/>
        <v>[Always to be reported + If applicable]</v>
      </c>
      <c r="C123" t="s">
        <v>4000</v>
      </c>
      <c r="D123" s="90" t="s">
        <v>6932</v>
      </c>
      <c r="E123" s="90" t="s">
        <v>6218</v>
      </c>
      <c r="F123" s="90" t="s">
        <v>7303</v>
      </c>
      <c r="G123" s="90" t="s">
        <v>6610</v>
      </c>
    </row>
    <row r="124" spans="1:7" x14ac:dyDescent="0.35">
      <c r="A124" t="s">
        <v>4367</v>
      </c>
      <c r="B124" s="444" t="str">
        <f t="shared" si="2"/>
        <v>[If applicable linked with B2]</v>
      </c>
      <c r="C124" t="s">
        <v>4366</v>
      </c>
      <c r="D124" s="90" t="s">
        <v>6933</v>
      </c>
      <c r="E124" s="90" t="s">
        <v>6219</v>
      </c>
      <c r="F124" s="90" t="s">
        <v>7304</v>
      </c>
      <c r="G124" s="90" t="s">
        <v>5730</v>
      </c>
    </row>
    <row r="125" spans="1:7" s="12" customFormat="1" ht="15" thickBot="1" x14ac:dyDescent="0.4">
      <c r="A125" s="12" t="s">
        <v>4509</v>
      </c>
      <c r="B125" s="478" t="str">
        <f t="shared" si="2"/>
        <v>amount in</v>
      </c>
      <c r="C125" s="12" t="s">
        <v>4510</v>
      </c>
      <c r="D125" s="445" t="s">
        <v>6934</v>
      </c>
      <c r="E125" s="445" t="s">
        <v>5930</v>
      </c>
      <c r="F125" s="445" t="s">
        <v>7305</v>
      </c>
      <c r="G125" s="445" t="s">
        <v>6611</v>
      </c>
    </row>
    <row r="126" spans="1:7" x14ac:dyDescent="0.35">
      <c r="A126" t="s">
        <v>4085</v>
      </c>
      <c r="B126" s="444" t="str">
        <f t="shared" si="2"/>
        <v>Information on the report necessary for  XBRL</v>
      </c>
      <c r="C126" t="s">
        <v>3991</v>
      </c>
      <c r="D126" s="90" t="s">
        <v>6935</v>
      </c>
      <c r="E126" s="90" t="s">
        <v>6220</v>
      </c>
      <c r="F126" s="90" t="s">
        <v>7265</v>
      </c>
      <c r="G126" s="90" t="s">
        <v>6612</v>
      </c>
    </row>
    <row r="127" spans="1:7" x14ac:dyDescent="0.35">
      <c r="A127" t="s">
        <v>4086</v>
      </c>
      <c r="B127" s="444" t="str">
        <f t="shared" si="2"/>
        <v>Name of the reporting entity</v>
      </c>
      <c r="C127" t="s">
        <v>0</v>
      </c>
      <c r="D127" s="90" t="s">
        <v>6936</v>
      </c>
      <c r="E127" s="90" t="s">
        <v>6221</v>
      </c>
      <c r="F127" s="90" t="s">
        <v>7306</v>
      </c>
      <c r="G127" s="90" t="s">
        <v>5731</v>
      </c>
    </row>
    <row r="128" spans="1:7" x14ac:dyDescent="0.35">
      <c r="A128" t="s">
        <v>4087</v>
      </c>
      <c r="B128" s="444" t="str">
        <f t="shared" si="2"/>
        <v>Identifier of the reporting entity (select and specify on the right)</v>
      </c>
      <c r="C128" t="s">
        <v>3685</v>
      </c>
      <c r="D128" s="90" t="s">
        <v>6937</v>
      </c>
      <c r="E128" s="90" t="s">
        <v>6222</v>
      </c>
      <c r="F128" s="90" t="s">
        <v>7307</v>
      </c>
      <c r="G128" s="90" t="s">
        <v>6613</v>
      </c>
    </row>
    <row r="129" spans="1:7" x14ac:dyDescent="0.35">
      <c r="A129" t="s">
        <v>4088</v>
      </c>
      <c r="B129" s="444" t="str">
        <f t="shared" si="2"/>
        <v>Currency of the monetary values in the report</v>
      </c>
      <c r="C129" t="s">
        <v>3951</v>
      </c>
      <c r="D129" s="90" t="s">
        <v>6938</v>
      </c>
      <c r="E129" s="90" t="s">
        <v>6223</v>
      </c>
      <c r="F129" s="90" t="s">
        <v>7308</v>
      </c>
      <c r="G129" s="90" t="s">
        <v>6514</v>
      </c>
    </row>
    <row r="130" spans="1:7" x14ac:dyDescent="0.35">
      <c r="A130" t="s">
        <v>4089</v>
      </c>
      <c r="B130" s="444" t="str">
        <f t="shared" si="2"/>
        <v>Starting year</v>
      </c>
      <c r="C130" t="s">
        <v>3055</v>
      </c>
      <c r="D130" s="90" t="s">
        <v>6939</v>
      </c>
      <c r="E130" s="90" t="s">
        <v>5931</v>
      </c>
      <c r="F130" s="90" t="s">
        <v>7309</v>
      </c>
      <c r="G130" s="90" t="s">
        <v>5732</v>
      </c>
    </row>
    <row r="131" spans="1:7" x14ac:dyDescent="0.35">
      <c r="A131" t="s">
        <v>4090</v>
      </c>
      <c r="B131" s="444" t="str">
        <f t="shared" si="2"/>
        <v>Starting month</v>
      </c>
      <c r="C131" t="s">
        <v>3056</v>
      </c>
      <c r="D131" s="90" t="s">
        <v>6940</v>
      </c>
      <c r="E131" s="90" t="s">
        <v>6224</v>
      </c>
      <c r="F131" s="90" t="s">
        <v>7310</v>
      </c>
      <c r="G131" s="90" t="s">
        <v>5733</v>
      </c>
    </row>
    <row r="132" spans="1:7" x14ac:dyDescent="0.35">
      <c r="A132" t="s">
        <v>4091</v>
      </c>
      <c r="B132" s="444" t="str">
        <f t="shared" ref="B132:B195" si="3">INDEX(C132:G132,MATCH(template_selected_display_language,$C$3:$G$3,0))</f>
        <v>Starting day</v>
      </c>
      <c r="C132" t="s">
        <v>3057</v>
      </c>
      <c r="D132" s="90" t="s">
        <v>6941</v>
      </c>
      <c r="E132" s="90" t="s">
        <v>6225</v>
      </c>
      <c r="F132" s="90" t="s">
        <v>5847</v>
      </c>
      <c r="G132" s="90" t="s">
        <v>5734</v>
      </c>
    </row>
    <row r="133" spans="1:7" x14ac:dyDescent="0.35">
      <c r="A133" t="s">
        <v>4092</v>
      </c>
      <c r="B133" s="444" t="str">
        <f t="shared" si="3"/>
        <v>Reporting period start date (yyyy-mm-dd)</v>
      </c>
      <c r="C133" t="s">
        <v>4063</v>
      </c>
      <c r="D133" s="90" t="s">
        <v>6942</v>
      </c>
      <c r="E133" s="90" t="s">
        <v>5932</v>
      </c>
      <c r="F133" s="90" t="s">
        <v>5848</v>
      </c>
      <c r="G133" s="90" t="s">
        <v>6614</v>
      </c>
    </row>
    <row r="134" spans="1:7" x14ac:dyDescent="0.35">
      <c r="A134" t="s">
        <v>4093</v>
      </c>
      <c r="B134" s="444" t="str">
        <f t="shared" si="3"/>
        <v>Ending year</v>
      </c>
      <c r="C134" t="s">
        <v>3058</v>
      </c>
      <c r="D134" s="90" t="s">
        <v>6943</v>
      </c>
      <c r="E134" s="90" t="s">
        <v>6226</v>
      </c>
      <c r="F134" s="90" t="s">
        <v>7311</v>
      </c>
      <c r="G134" s="90" t="s">
        <v>5735</v>
      </c>
    </row>
    <row r="135" spans="1:7" x14ac:dyDescent="0.35">
      <c r="A135" t="s">
        <v>4094</v>
      </c>
      <c r="B135" s="444" t="str">
        <f t="shared" si="3"/>
        <v>Ending month</v>
      </c>
      <c r="C135" t="s">
        <v>3059</v>
      </c>
      <c r="D135" s="90" t="s">
        <v>6944</v>
      </c>
      <c r="E135" s="90" t="s">
        <v>6227</v>
      </c>
      <c r="F135" s="90" t="s">
        <v>5849</v>
      </c>
      <c r="G135" s="90" t="s">
        <v>5736</v>
      </c>
    </row>
    <row r="136" spans="1:7" x14ac:dyDescent="0.35">
      <c r="A136" t="s">
        <v>4095</v>
      </c>
      <c r="B136" s="444" t="str">
        <f t="shared" si="3"/>
        <v>Ending day</v>
      </c>
      <c r="C136" t="s">
        <v>3060</v>
      </c>
      <c r="D136" s="90" t="s">
        <v>6945</v>
      </c>
      <c r="E136" s="90" t="s">
        <v>6228</v>
      </c>
      <c r="F136" s="90" t="s">
        <v>5850</v>
      </c>
      <c r="G136" s="90" t="s">
        <v>6615</v>
      </c>
    </row>
    <row r="137" spans="1:7" s="12" customFormat="1" ht="15" thickBot="1" x14ac:dyDescent="0.4">
      <c r="A137" s="12" t="s">
        <v>4096</v>
      </c>
      <c r="B137" s="478" t="str">
        <f t="shared" si="3"/>
        <v>Reporting period end date  (yyyy-mm-dd)</v>
      </c>
      <c r="C137" s="12" t="s">
        <v>4064</v>
      </c>
      <c r="D137" s="445" t="s">
        <v>6946</v>
      </c>
      <c r="E137" s="445" t="s">
        <v>5933</v>
      </c>
      <c r="F137" s="445" t="s">
        <v>7312</v>
      </c>
      <c r="G137" s="445" t="s">
        <v>6616</v>
      </c>
    </row>
    <row r="138" spans="1:7" x14ac:dyDescent="0.35">
      <c r="A138" t="s">
        <v>4074</v>
      </c>
      <c r="B138" s="444" t="str">
        <f t="shared" si="3"/>
        <v>Information on previous reporting period</v>
      </c>
      <c r="C138" t="s">
        <v>2921</v>
      </c>
      <c r="D138" s="90" t="s">
        <v>6060</v>
      </c>
      <c r="E138" s="90" t="s">
        <v>6229</v>
      </c>
      <c r="F138" s="90" t="s">
        <v>7313</v>
      </c>
      <c r="G138" s="90" t="s">
        <v>6576</v>
      </c>
    </row>
    <row r="139" spans="1:7" x14ac:dyDescent="0.35">
      <c r="A139" t="s">
        <v>4075</v>
      </c>
      <c r="B139" s="444" t="str">
        <f t="shared" si="3"/>
        <v>This report contains disclosures from the previous reporting period that remain unchanged</v>
      </c>
      <c r="C139" t="s">
        <v>2</v>
      </c>
      <c r="D139" s="90" t="s">
        <v>6947</v>
      </c>
      <c r="E139" s="90" t="s">
        <v>6230</v>
      </c>
      <c r="F139" s="90" t="s">
        <v>7314</v>
      </c>
      <c r="G139" s="90" t="s">
        <v>6617</v>
      </c>
    </row>
    <row r="140" spans="1:7" x14ac:dyDescent="0.35">
      <c r="A140" t="s">
        <v>4076</v>
      </c>
      <c r="B140" s="444" t="str">
        <f t="shared" si="3"/>
        <v>List of disclosures for which no changes are reported compared to the previous period reporting</v>
      </c>
      <c r="C140" t="s">
        <v>3952</v>
      </c>
      <c r="D140" s="90" t="s">
        <v>6948</v>
      </c>
      <c r="E140" s="90" t="s">
        <v>6231</v>
      </c>
      <c r="F140" s="90" t="s">
        <v>7315</v>
      </c>
      <c r="G140" s="90" t="s">
        <v>6618</v>
      </c>
    </row>
    <row r="141" spans="1:7" s="12" customFormat="1" ht="15" thickBot="1" x14ac:dyDescent="0.4">
      <c r="A141" s="12" t="s">
        <v>4077</v>
      </c>
      <c r="B141" s="478" t="str">
        <f t="shared" si="3"/>
        <v>Link to previous report containing disclosures that remain unchanged</v>
      </c>
      <c r="C141" s="12" t="s">
        <v>2900</v>
      </c>
      <c r="D141" s="445" t="s">
        <v>6949</v>
      </c>
      <c r="E141" s="445" t="s">
        <v>6232</v>
      </c>
      <c r="F141" s="445" t="s">
        <v>7316</v>
      </c>
      <c r="G141" s="445" t="s">
        <v>5737</v>
      </c>
    </row>
    <row r="142" spans="1:7" x14ac:dyDescent="0.35">
      <c r="A142" t="s">
        <v>4078</v>
      </c>
      <c r="B142" s="444" t="str">
        <f t="shared" si="3"/>
        <v>B1 - Basis for Preparation and other undertaking's general information</v>
      </c>
      <c r="C142" t="s">
        <v>3953</v>
      </c>
      <c r="D142" s="90" t="s">
        <v>6950</v>
      </c>
      <c r="E142" s="90" t="s">
        <v>6233</v>
      </c>
      <c r="F142" s="90" t="s">
        <v>7345</v>
      </c>
      <c r="G142" s="90" t="s">
        <v>6619</v>
      </c>
    </row>
    <row r="143" spans="1:7" x14ac:dyDescent="0.35">
      <c r="A143" t="s">
        <v>4097</v>
      </c>
      <c r="B143" s="444" t="str">
        <f t="shared" si="3"/>
        <v>Basis for preparation (Basic Module Only or Basic &amp; Comprehensive Module)</v>
      </c>
      <c r="C143" t="s">
        <v>3046</v>
      </c>
      <c r="D143" s="90" t="s">
        <v>6951</v>
      </c>
      <c r="E143" s="90" t="s">
        <v>6234</v>
      </c>
      <c r="F143" s="90" t="s">
        <v>7317</v>
      </c>
      <c r="G143" s="90" t="s">
        <v>6620</v>
      </c>
    </row>
    <row r="144" spans="1:7" x14ac:dyDescent="0.35">
      <c r="A144" t="s">
        <v>4098</v>
      </c>
      <c r="B144" s="444" t="str">
        <f t="shared" si="3"/>
        <v>List of omitted disclosures deemed to be classified or sensitive information</v>
      </c>
      <c r="C144" t="s">
        <v>3954</v>
      </c>
      <c r="D144" s="90" t="s">
        <v>6952</v>
      </c>
      <c r="E144" s="90" t="s">
        <v>6235</v>
      </c>
      <c r="F144" s="90" t="s">
        <v>7318</v>
      </c>
      <c r="G144" s="90" t="s">
        <v>6621</v>
      </c>
    </row>
    <row r="145" spans="1:7" x14ac:dyDescent="0.35">
      <c r="A145" t="s">
        <v>4099</v>
      </c>
      <c r="B145" s="444" t="str">
        <f t="shared" si="3"/>
        <v>Basis for reporting (consolidated or individual basis)</v>
      </c>
      <c r="C145" t="s">
        <v>3093</v>
      </c>
      <c r="D145" s="90" t="s">
        <v>6953</v>
      </c>
      <c r="E145" s="90" t="s">
        <v>6236</v>
      </c>
      <c r="F145" s="90" t="s">
        <v>7319</v>
      </c>
      <c r="G145" s="90" t="s">
        <v>5738</v>
      </c>
    </row>
    <row r="146" spans="1:7" x14ac:dyDescent="0.35">
      <c r="A146" t="s">
        <v>4100</v>
      </c>
      <c r="B146" s="444" t="str">
        <f t="shared" si="3"/>
        <v>Undertakings legal form</v>
      </c>
      <c r="C146" t="s">
        <v>3</v>
      </c>
      <c r="D146" s="90" t="s">
        <v>6954</v>
      </c>
      <c r="E146" s="90" t="s">
        <v>6237</v>
      </c>
      <c r="F146" s="90" t="s">
        <v>7320</v>
      </c>
      <c r="G146" s="90" t="s">
        <v>6622</v>
      </c>
    </row>
    <row r="147" spans="1:7" x14ac:dyDescent="0.35">
      <c r="A147" t="s">
        <v>4101</v>
      </c>
      <c r="B147" s="444" t="str">
        <f t="shared" si="3"/>
        <v>Other undertaking's legal form specification</v>
      </c>
      <c r="C147" t="s">
        <v>3049</v>
      </c>
      <c r="D147" s="90" t="s">
        <v>6008</v>
      </c>
      <c r="E147" s="90" t="s">
        <v>6238</v>
      </c>
      <c r="F147" s="90" t="s">
        <v>7321</v>
      </c>
      <c r="G147" s="90" t="s">
        <v>5739</v>
      </c>
    </row>
    <row r="148" spans="1:7" x14ac:dyDescent="0.35">
      <c r="A148" t="s">
        <v>4102</v>
      </c>
      <c r="B148" s="444" t="str">
        <f t="shared" si="3"/>
        <v>NACE sector classification code(s)</v>
      </c>
      <c r="C148" t="s">
        <v>2758</v>
      </c>
      <c r="D148" s="90" t="s">
        <v>6955</v>
      </c>
      <c r="E148" s="90" t="s">
        <v>6239</v>
      </c>
      <c r="F148" s="90" t="s">
        <v>7322</v>
      </c>
      <c r="G148" s="90" t="s">
        <v>6623</v>
      </c>
    </row>
    <row r="149" spans="1:7" x14ac:dyDescent="0.35">
      <c r="A149" t="s">
        <v>4103</v>
      </c>
      <c r="B149" s="444" t="str">
        <f t="shared" si="3"/>
        <v>Size of balance sheet (total assets) in</v>
      </c>
      <c r="C149" t="s">
        <v>5674</v>
      </c>
      <c r="D149" s="90" t="s">
        <v>6956</v>
      </c>
      <c r="E149" s="90" t="s">
        <v>6240</v>
      </c>
      <c r="F149" s="90" t="s">
        <v>7323</v>
      </c>
      <c r="G149" s="90" t="s">
        <v>6624</v>
      </c>
    </row>
    <row r="150" spans="1:7" x14ac:dyDescent="0.35">
      <c r="A150" t="s">
        <v>4104</v>
      </c>
      <c r="B150" s="444" t="str">
        <f t="shared" si="3"/>
        <v>Turnover in</v>
      </c>
      <c r="C150" t="s">
        <v>3955</v>
      </c>
      <c r="D150" s="90" t="s">
        <v>6957</v>
      </c>
      <c r="E150" s="90" t="s">
        <v>6241</v>
      </c>
      <c r="F150" s="90" t="s">
        <v>5851</v>
      </c>
      <c r="G150" s="90" t="s">
        <v>5740</v>
      </c>
    </row>
    <row r="151" spans="1:7" x14ac:dyDescent="0.35">
      <c r="A151" t="s">
        <v>4105</v>
      </c>
      <c r="B151" s="444" t="str">
        <f t="shared" si="3"/>
        <v>Number of employees</v>
      </c>
      <c r="C151" t="s">
        <v>4</v>
      </c>
      <c r="D151" s="90" t="s">
        <v>6061</v>
      </c>
      <c r="E151" s="90" t="s">
        <v>6242</v>
      </c>
      <c r="F151" s="90" t="s">
        <v>7324</v>
      </c>
      <c r="G151" s="90" t="s">
        <v>6625</v>
      </c>
    </row>
    <row r="152" spans="1:7" x14ac:dyDescent="0.35">
      <c r="A152" t="s">
        <v>4106</v>
      </c>
      <c r="B152" s="444" t="str">
        <f t="shared" si="3"/>
        <v>Employee counting methodology (At the end of reporting period or as an average during the reporting period)</v>
      </c>
      <c r="C152" t="s">
        <v>3097</v>
      </c>
      <c r="D152" s="90" t="s">
        <v>6958</v>
      </c>
      <c r="E152" s="90" t="s">
        <v>6243</v>
      </c>
      <c r="F152" s="90" t="s">
        <v>7325</v>
      </c>
      <c r="G152" s="90" t="s">
        <v>6535</v>
      </c>
    </row>
    <row r="153" spans="1:7" x14ac:dyDescent="0.35">
      <c r="A153" t="s">
        <v>4107</v>
      </c>
      <c r="B153" s="444" t="str">
        <f t="shared" si="3"/>
        <v>Employee counting methodology (Headcount or Full-time equivalent)</v>
      </c>
      <c r="C153" t="s">
        <v>3098</v>
      </c>
      <c r="D153" s="90" t="s">
        <v>6959</v>
      </c>
      <c r="E153" s="90" t="s">
        <v>6244</v>
      </c>
      <c r="F153" s="90" t="s">
        <v>7326</v>
      </c>
      <c r="G153" s="90" t="s">
        <v>6536</v>
      </c>
    </row>
    <row r="154" spans="1:7" s="12" customFormat="1" ht="15" thickBot="1" x14ac:dyDescent="0.4">
      <c r="A154" s="12" t="s">
        <v>4108</v>
      </c>
      <c r="B154" s="478" t="str">
        <f t="shared" si="3"/>
        <v>Country of primary operations and location of significant asset(s)</v>
      </c>
      <c r="C154" s="12" t="s">
        <v>5</v>
      </c>
      <c r="D154" s="445" t="s">
        <v>6960</v>
      </c>
      <c r="E154" s="445" t="s">
        <v>6245</v>
      </c>
      <c r="F154" s="445" t="s">
        <v>7327</v>
      </c>
      <c r="G154" s="445" t="s">
        <v>6626</v>
      </c>
    </row>
    <row r="155" spans="1:7" x14ac:dyDescent="0.35">
      <c r="A155" t="s">
        <v>4109</v>
      </c>
      <c r="B155" s="444" t="str">
        <f t="shared" si="3"/>
        <v>B1 - List of subsidiaries</v>
      </c>
      <c r="C155" t="s">
        <v>4361</v>
      </c>
      <c r="D155" s="90" t="s">
        <v>6961</v>
      </c>
      <c r="E155" s="90" t="s">
        <v>6246</v>
      </c>
      <c r="F155" s="90" t="s">
        <v>5852</v>
      </c>
      <c r="G155" s="90" t="s">
        <v>5741</v>
      </c>
    </row>
    <row r="156" spans="1:7" x14ac:dyDescent="0.35">
      <c r="A156" t="s">
        <v>4110</v>
      </c>
      <c r="B156" s="444" t="str">
        <f t="shared" si="3"/>
        <v>ID</v>
      </c>
      <c r="C156" t="s">
        <v>6</v>
      </c>
      <c r="D156" s="90" t="s">
        <v>6</v>
      </c>
      <c r="E156" s="90" t="s">
        <v>6</v>
      </c>
      <c r="F156" s="90" t="s">
        <v>6</v>
      </c>
      <c r="G156" s="90" t="s">
        <v>6</v>
      </c>
    </row>
    <row r="157" spans="1:7" x14ac:dyDescent="0.35">
      <c r="A157" t="s">
        <v>4111</v>
      </c>
      <c r="B157" s="444" t="str">
        <f t="shared" si="3"/>
        <v>Name</v>
      </c>
      <c r="C157" t="s">
        <v>7</v>
      </c>
      <c r="D157" s="90" t="s">
        <v>6962</v>
      </c>
      <c r="E157" s="90" t="s">
        <v>6076</v>
      </c>
      <c r="F157" s="90" t="s">
        <v>5701</v>
      </c>
      <c r="G157" s="90" t="s">
        <v>5742</v>
      </c>
    </row>
    <row r="158" spans="1:7" s="12" customFormat="1" ht="15" thickBot="1" x14ac:dyDescent="0.4">
      <c r="A158" s="12" t="s">
        <v>4112</v>
      </c>
      <c r="B158" s="478" t="str">
        <f t="shared" si="3"/>
        <v>Registered Address</v>
      </c>
      <c r="C158" s="12" t="s">
        <v>3018</v>
      </c>
      <c r="D158" s="445" t="s">
        <v>6009</v>
      </c>
      <c r="E158" s="445" t="s">
        <v>6077</v>
      </c>
      <c r="F158" s="445" t="s">
        <v>7328</v>
      </c>
      <c r="G158" s="445" t="s">
        <v>6627</v>
      </c>
    </row>
    <row r="159" spans="1:7" x14ac:dyDescent="0.35">
      <c r="A159" t="s">
        <v>4113</v>
      </c>
      <c r="B159" s="444" t="str">
        <f t="shared" si="3"/>
        <v>B1 - Disclosure of sustainability-related certification(s) or label(s)</v>
      </c>
      <c r="C159" t="s">
        <v>4362</v>
      </c>
      <c r="D159" s="90" t="s">
        <v>6963</v>
      </c>
      <c r="E159" s="90" t="s">
        <v>6247</v>
      </c>
      <c r="F159" s="90" t="s">
        <v>7329</v>
      </c>
      <c r="G159" s="90" t="s">
        <v>6628</v>
      </c>
    </row>
    <row r="160" spans="1:7" x14ac:dyDescent="0.35">
      <c r="A160" t="s">
        <v>4114</v>
      </c>
      <c r="B160" s="444" t="str">
        <f t="shared" si="3"/>
        <v>Has the undertaking obtained any sustainability-related certification(s) or label(s) ?</v>
      </c>
      <c r="C160" t="s">
        <v>3092</v>
      </c>
      <c r="D160" s="90" t="s">
        <v>6964</v>
      </c>
      <c r="E160" s="90" t="s">
        <v>6248</v>
      </c>
      <c r="F160" s="90" t="s">
        <v>7330</v>
      </c>
      <c r="G160" s="90" t="s">
        <v>5743</v>
      </c>
    </row>
    <row r="161" spans="1:7" s="12" customFormat="1" ht="15" thickBot="1" x14ac:dyDescent="0.4">
      <c r="A161" s="12" t="s">
        <v>4115</v>
      </c>
      <c r="B161" s="478" t="str">
        <f t="shared" si="3"/>
        <v>Description of sustainability-related certification(s) or label(s) including where relevant the issuers of the certification or label date and rating score</v>
      </c>
      <c r="C161" s="12" t="s">
        <v>4032</v>
      </c>
      <c r="D161" s="445" t="s">
        <v>6965</v>
      </c>
      <c r="E161" s="445" t="s">
        <v>6249</v>
      </c>
      <c r="F161" s="445" t="s">
        <v>7331</v>
      </c>
      <c r="G161" s="445" t="s">
        <v>6629</v>
      </c>
    </row>
    <row r="162" spans="1:7" x14ac:dyDescent="0.35">
      <c r="A162" t="s">
        <v>4116</v>
      </c>
      <c r="B162" s="444" t="str">
        <f t="shared" si="3"/>
        <v>B1 - List of site(s)</v>
      </c>
      <c r="C162" t="s">
        <v>4363</v>
      </c>
      <c r="D162" s="90" t="s">
        <v>6966</v>
      </c>
      <c r="E162" s="90" t="s">
        <v>6250</v>
      </c>
      <c r="F162" s="90" t="s">
        <v>7332</v>
      </c>
      <c r="G162" s="90" t="s">
        <v>6630</v>
      </c>
    </row>
    <row r="163" spans="1:7" x14ac:dyDescent="0.35">
      <c r="A163" t="s">
        <v>4117</v>
      </c>
      <c r="B163" s="444" t="str">
        <f t="shared" si="3"/>
        <v>Address</v>
      </c>
      <c r="C163" t="s">
        <v>8</v>
      </c>
      <c r="D163" s="90" t="s">
        <v>6010</v>
      </c>
      <c r="E163" s="90" t="s">
        <v>5697</v>
      </c>
      <c r="F163" s="90" t="s">
        <v>7333</v>
      </c>
      <c r="G163" s="90" t="s">
        <v>5744</v>
      </c>
    </row>
    <row r="164" spans="1:7" x14ac:dyDescent="0.35">
      <c r="A164" t="s">
        <v>4118</v>
      </c>
      <c r="B164" s="444" t="str">
        <f t="shared" si="3"/>
        <v>Postal code</v>
      </c>
      <c r="C164" t="s">
        <v>9</v>
      </c>
      <c r="D164" s="90" t="s">
        <v>6011</v>
      </c>
      <c r="E164" s="90" t="s">
        <v>5934</v>
      </c>
      <c r="F164" s="90" t="s">
        <v>5745</v>
      </c>
      <c r="G164" s="90" t="s">
        <v>5745</v>
      </c>
    </row>
    <row r="165" spans="1:7" x14ac:dyDescent="0.35">
      <c r="A165" t="s">
        <v>4119</v>
      </c>
      <c r="B165" s="444" t="str">
        <f t="shared" si="3"/>
        <v>City</v>
      </c>
      <c r="C165" t="s">
        <v>10</v>
      </c>
      <c r="D165" s="90" t="s">
        <v>6967</v>
      </c>
      <c r="E165" s="90" t="s">
        <v>5935</v>
      </c>
      <c r="F165" s="90" t="s">
        <v>5853</v>
      </c>
      <c r="G165" s="90" t="s">
        <v>5746</v>
      </c>
    </row>
    <row r="166" spans="1:7" x14ac:dyDescent="0.35">
      <c r="A166" t="s">
        <v>4120</v>
      </c>
      <c r="B166" s="444" t="str">
        <f t="shared" si="3"/>
        <v>Country</v>
      </c>
      <c r="C166" t="s">
        <v>11</v>
      </c>
      <c r="D166" s="90" t="s">
        <v>6968</v>
      </c>
      <c r="E166" s="90" t="s">
        <v>5936</v>
      </c>
      <c r="F166" s="90" t="s">
        <v>5747</v>
      </c>
      <c r="G166" s="90" t="s">
        <v>5747</v>
      </c>
    </row>
    <row r="167" spans="1:7" x14ac:dyDescent="0.35">
      <c r="A167" t="s">
        <v>4121</v>
      </c>
      <c r="B167" s="444" t="str">
        <f t="shared" si="3"/>
        <v>GPS Coordinates (geolocation)</v>
      </c>
      <c r="C167" t="s">
        <v>2920</v>
      </c>
      <c r="D167" s="90" t="s">
        <v>6969</v>
      </c>
      <c r="E167" s="90" t="s">
        <v>6251</v>
      </c>
      <c r="F167" s="90" t="s">
        <v>5854</v>
      </c>
      <c r="G167" s="90" t="s">
        <v>5748</v>
      </c>
    </row>
    <row r="168" spans="1:7" s="12" customFormat="1" ht="14" customHeight="1" thickBot="1" x14ac:dyDescent="0.4">
      <c r="A168" s="12" t="s">
        <v>4122</v>
      </c>
      <c r="B168" s="478" t="str">
        <f t="shared" si="3"/>
        <v>Automatic geolocation: enabling the OpenStreetMaps's automatic geolocation with the checkbox below the undertaking is declaring to be fully aware and in acceptance of Nominatim Usage Policy and Privacy Policy.
OpenStreetMap® is open data licensed under the Open Data Commons Open Database License (ODbL) by the OpenStreetMap Foundation (OSMF). All data belong and are owned by OpenStreetMap®.</v>
      </c>
      <c r="C168" s="479" t="s">
        <v>4365</v>
      </c>
      <c r="D168" s="445" t="s">
        <v>6970</v>
      </c>
      <c r="E168" s="445" t="s">
        <v>6252</v>
      </c>
      <c r="F168" s="445" t="s">
        <v>7334</v>
      </c>
      <c r="G168" s="445" t="s">
        <v>6631</v>
      </c>
    </row>
    <row r="169" spans="1:7" x14ac:dyDescent="0.35">
      <c r="A169" t="s">
        <v>4123</v>
      </c>
      <c r="B169" s="444" t="str">
        <f t="shared" si="3"/>
        <v>B2 – Practices policies and future initiatives for transitioning towards a more sustainable economy</v>
      </c>
      <c r="C169" t="s">
        <v>4033</v>
      </c>
      <c r="D169" s="90" t="s">
        <v>6971</v>
      </c>
      <c r="E169" s="90" t="s">
        <v>5937</v>
      </c>
      <c r="F169" s="90" t="s">
        <v>7271</v>
      </c>
      <c r="G169" s="90" t="s">
        <v>5749</v>
      </c>
    </row>
    <row r="170" spans="1:7" x14ac:dyDescent="0.35">
      <c r="A170" t="s">
        <v>4124</v>
      </c>
      <c r="B170" s="444" t="str">
        <f t="shared" si="3"/>
        <v>Has the undertaking put in place specific practices policies and or future initiatives for transitioning towards a more sustainable economy?</v>
      </c>
      <c r="C170" t="s">
        <v>4055</v>
      </c>
      <c r="D170" s="90" t="s">
        <v>6972</v>
      </c>
      <c r="E170" s="90" t="s">
        <v>6253</v>
      </c>
      <c r="F170" s="90" t="s">
        <v>7335</v>
      </c>
      <c r="G170" s="90" t="s">
        <v>6632</v>
      </c>
    </row>
    <row r="171" spans="1:7" x14ac:dyDescent="0.35">
      <c r="A171" t="s">
        <v>4125</v>
      </c>
      <c r="B171" s="444" t="str">
        <f t="shared" si="3"/>
        <v>Sustainability issues addressed by a practice policy and or future initiatives that the undertaking has put in place</v>
      </c>
      <c r="C171" t="s">
        <v>4056</v>
      </c>
      <c r="D171" s="90" t="s">
        <v>6973</v>
      </c>
      <c r="E171" s="90" t="s">
        <v>6254</v>
      </c>
      <c r="F171" s="90" t="s">
        <v>7336</v>
      </c>
      <c r="G171" s="90" t="s">
        <v>6633</v>
      </c>
    </row>
    <row r="172" spans="1:7" x14ac:dyDescent="0.35">
      <c r="A172" t="s">
        <v>4126</v>
      </c>
      <c r="B172" s="444" t="str">
        <f t="shared" si="3"/>
        <v>Undertaking has a practice policy and or future initiative that is publicly available</v>
      </c>
      <c r="C172" t="s">
        <v>4031</v>
      </c>
      <c r="D172" s="90" t="s">
        <v>6974</v>
      </c>
      <c r="E172" s="90" t="s">
        <v>6255</v>
      </c>
      <c r="F172" s="90" t="s">
        <v>7337</v>
      </c>
      <c r="G172" s="90" t="s">
        <v>6634</v>
      </c>
    </row>
    <row r="173" spans="1:7" x14ac:dyDescent="0.35">
      <c r="A173" t="s">
        <v>4127</v>
      </c>
      <c r="B173" s="444" t="str">
        <f t="shared" si="3"/>
        <v>Undertaking has set a target which is related to a policy</v>
      </c>
      <c r="C173" t="s">
        <v>3572</v>
      </c>
      <c r="D173" s="90" t="s">
        <v>6975</v>
      </c>
      <c r="E173" s="90" t="s">
        <v>6256</v>
      </c>
      <c r="F173" s="90" t="s">
        <v>7338</v>
      </c>
      <c r="G173" s="90" t="s">
        <v>6635</v>
      </c>
    </row>
    <row r="174" spans="1:7" x14ac:dyDescent="0.35">
      <c r="A174" t="s">
        <v>4128</v>
      </c>
      <c r="B174" s="444" t="str">
        <f t="shared" si="3"/>
        <v>Climate change</v>
      </c>
      <c r="C174" t="s">
        <v>2891</v>
      </c>
      <c r="D174" s="90" t="s">
        <v>6012</v>
      </c>
      <c r="E174" s="90" t="s">
        <v>6257</v>
      </c>
      <c r="F174" s="90" t="s">
        <v>7339</v>
      </c>
      <c r="G174" s="90" t="s">
        <v>5750</v>
      </c>
    </row>
    <row r="175" spans="1:7" x14ac:dyDescent="0.35">
      <c r="A175" t="s">
        <v>4129</v>
      </c>
      <c r="B175" s="444" t="str">
        <f t="shared" si="3"/>
        <v>Pollution</v>
      </c>
      <c r="C175" t="s">
        <v>2892</v>
      </c>
      <c r="D175" s="90" t="s">
        <v>6013</v>
      </c>
      <c r="E175" s="90" t="s">
        <v>5938</v>
      </c>
      <c r="F175" s="90" t="s">
        <v>5855</v>
      </c>
      <c r="G175" s="90" t="s">
        <v>5751</v>
      </c>
    </row>
    <row r="176" spans="1:7" x14ac:dyDescent="0.35">
      <c r="A176" t="s">
        <v>4130</v>
      </c>
      <c r="B176" s="444" t="str">
        <f t="shared" si="3"/>
        <v>Water and marine resources</v>
      </c>
      <c r="C176" t="s">
        <v>2893</v>
      </c>
      <c r="D176" s="90" t="s">
        <v>6014</v>
      </c>
      <c r="E176" s="90" t="s">
        <v>6258</v>
      </c>
      <c r="F176" s="90" t="s">
        <v>7340</v>
      </c>
      <c r="G176" s="90" t="s">
        <v>6636</v>
      </c>
    </row>
    <row r="177" spans="1:7" x14ac:dyDescent="0.35">
      <c r="A177" t="s">
        <v>4131</v>
      </c>
      <c r="B177" s="444" t="str">
        <f t="shared" si="3"/>
        <v>Biodiversity and ecosystems</v>
      </c>
      <c r="C177" t="s">
        <v>2894</v>
      </c>
      <c r="D177" s="90" t="s">
        <v>6015</v>
      </c>
      <c r="E177" s="90" t="s">
        <v>6259</v>
      </c>
      <c r="F177" s="90" t="s">
        <v>5856</v>
      </c>
      <c r="G177" s="90" t="s">
        <v>6105</v>
      </c>
    </row>
    <row r="178" spans="1:7" x14ac:dyDescent="0.35">
      <c r="A178" t="s">
        <v>4132</v>
      </c>
      <c r="B178" s="444" t="str">
        <f t="shared" si="3"/>
        <v>Circular economy</v>
      </c>
      <c r="C178" t="s">
        <v>2895</v>
      </c>
      <c r="D178" s="90" t="s">
        <v>6062</v>
      </c>
      <c r="E178" s="90" t="s">
        <v>5939</v>
      </c>
      <c r="F178" s="90" t="s">
        <v>5857</v>
      </c>
      <c r="G178" s="90" t="s">
        <v>5752</v>
      </c>
    </row>
    <row r="179" spans="1:7" x14ac:dyDescent="0.35">
      <c r="A179" t="s">
        <v>4133</v>
      </c>
      <c r="B179" s="444" t="str">
        <f t="shared" si="3"/>
        <v>Own workforce</v>
      </c>
      <c r="C179" t="s">
        <v>2896</v>
      </c>
      <c r="D179" s="90" t="s">
        <v>6976</v>
      </c>
      <c r="E179" s="90" t="s">
        <v>6260</v>
      </c>
      <c r="F179" s="90" t="s">
        <v>7341</v>
      </c>
      <c r="G179" s="90" t="s">
        <v>6515</v>
      </c>
    </row>
    <row r="180" spans="1:7" x14ac:dyDescent="0.35">
      <c r="A180" t="s">
        <v>4134</v>
      </c>
      <c r="B180" s="444" t="str">
        <f t="shared" si="3"/>
        <v>Workers in the value chain</v>
      </c>
      <c r="C180" t="s">
        <v>2652</v>
      </c>
      <c r="D180" s="90" t="s">
        <v>6063</v>
      </c>
      <c r="E180" s="90" t="s">
        <v>6261</v>
      </c>
      <c r="F180" s="90" t="s">
        <v>7346</v>
      </c>
      <c r="G180" s="90" t="s">
        <v>6637</v>
      </c>
    </row>
    <row r="181" spans="1:7" x14ac:dyDescent="0.35">
      <c r="A181" t="s">
        <v>4135</v>
      </c>
      <c r="B181" s="444" t="str">
        <f t="shared" si="3"/>
        <v>Affected communities</v>
      </c>
      <c r="C181" t="s">
        <v>2897</v>
      </c>
      <c r="D181" s="90" t="s">
        <v>6977</v>
      </c>
      <c r="E181" s="90" t="s">
        <v>6262</v>
      </c>
      <c r="F181" s="90" t="s">
        <v>5858</v>
      </c>
      <c r="G181" s="90" t="s">
        <v>5753</v>
      </c>
    </row>
    <row r="182" spans="1:7" x14ac:dyDescent="0.35">
      <c r="A182" t="s">
        <v>4136</v>
      </c>
      <c r="B182" s="444" t="str">
        <f t="shared" si="3"/>
        <v>Consumers and end-users</v>
      </c>
      <c r="C182" t="s">
        <v>2898</v>
      </c>
      <c r="D182" s="90" t="s">
        <v>6064</v>
      </c>
      <c r="E182" s="90" t="s">
        <v>5940</v>
      </c>
      <c r="F182" s="90" t="s">
        <v>5859</v>
      </c>
      <c r="G182" s="90" t="s">
        <v>5754</v>
      </c>
    </row>
    <row r="183" spans="1:7" s="12" customFormat="1" ht="15" thickBot="1" x14ac:dyDescent="0.4">
      <c r="A183" s="12" t="s">
        <v>4137</v>
      </c>
      <c r="B183" s="478" t="str">
        <f t="shared" si="3"/>
        <v>Business conduct</v>
      </c>
      <c r="C183" s="12" t="s">
        <v>2889</v>
      </c>
      <c r="D183" s="445" t="s">
        <v>6978</v>
      </c>
      <c r="E183" s="445" t="s">
        <v>6263</v>
      </c>
      <c r="F183" s="445" t="s">
        <v>7342</v>
      </c>
      <c r="G183" s="445" t="s">
        <v>5755</v>
      </c>
    </row>
    <row r="184" spans="1:7" x14ac:dyDescent="0.35">
      <c r="A184" t="s">
        <v>4138</v>
      </c>
      <c r="B184" s="444" t="str">
        <f t="shared" si="3"/>
        <v>B2 - Cooperative specific disclosures</v>
      </c>
      <c r="C184" t="s">
        <v>4007</v>
      </c>
      <c r="D184" s="90" t="s">
        <v>6016</v>
      </c>
      <c r="E184" s="90" t="s">
        <v>5941</v>
      </c>
      <c r="F184" s="90" t="s">
        <v>5860</v>
      </c>
      <c r="G184" s="90" t="s">
        <v>5756</v>
      </c>
    </row>
    <row r="185" spans="1:7" x14ac:dyDescent="0.35">
      <c r="A185" t="s">
        <v>4139</v>
      </c>
      <c r="B185" s="444" t="str">
        <f t="shared" si="3"/>
        <v>Effective participation of workers users or other interested parties or communities in governance</v>
      </c>
      <c r="C185" t="s">
        <v>4030</v>
      </c>
      <c r="D185" s="90" t="s">
        <v>6979</v>
      </c>
      <c r="E185" s="90" t="s">
        <v>6264</v>
      </c>
      <c r="F185" s="90" t="s">
        <v>7347</v>
      </c>
      <c r="G185" s="90" t="s">
        <v>6638</v>
      </c>
    </row>
    <row r="186" spans="1:7" x14ac:dyDescent="0.35">
      <c r="A186" t="s">
        <v>4140</v>
      </c>
      <c r="B186" s="444" t="str">
        <f t="shared" si="3"/>
        <v>Financial investment in the capital or assets of social economy entities referred to in the Council Recommendation of 29 September 2023 (excluding donations and contributions)</v>
      </c>
      <c r="C186" t="s">
        <v>3675</v>
      </c>
      <c r="D186" s="90" t="s">
        <v>6980</v>
      </c>
      <c r="E186" s="90" t="s">
        <v>6265</v>
      </c>
      <c r="F186" s="90" t="s">
        <v>7348</v>
      </c>
      <c r="G186" s="90" t="s">
        <v>6639</v>
      </c>
    </row>
    <row r="187" spans="1:7" s="12" customFormat="1" ht="15" thickBot="1" x14ac:dyDescent="0.4">
      <c r="A187" s="12" t="s">
        <v>4141</v>
      </c>
      <c r="B187" s="478" t="str">
        <f t="shared" si="3"/>
        <v>Any limits to the distribution of profits connected to the mutualistic nature or to the nature of the activities consisting in services of general economic interest (SGEI)</v>
      </c>
      <c r="C187" s="12" t="s">
        <v>4634</v>
      </c>
      <c r="D187" s="445" t="s">
        <v>6981</v>
      </c>
      <c r="E187" s="445" t="s">
        <v>6266</v>
      </c>
      <c r="F187" s="445" t="s">
        <v>7349</v>
      </c>
      <c r="G187" s="445" t="s">
        <v>6640</v>
      </c>
    </row>
    <row r="188" spans="1:7" x14ac:dyDescent="0.35">
      <c r="A188" t="s">
        <v>4142</v>
      </c>
      <c r="B188" s="444" t="str">
        <f t="shared" si="3"/>
        <v>C2 – Description of practices policies and future initiatives for transitioning towards a more sustainable economy</v>
      </c>
      <c r="C188" t="s">
        <v>4034</v>
      </c>
      <c r="D188" s="90" t="s">
        <v>6982</v>
      </c>
      <c r="E188" s="90" t="s">
        <v>5942</v>
      </c>
      <c r="F188" s="90" t="s">
        <v>7350</v>
      </c>
      <c r="G188" s="90" t="s">
        <v>6597</v>
      </c>
    </row>
    <row r="189" spans="1:7" x14ac:dyDescent="0.35">
      <c r="A189" t="s">
        <v>4143</v>
      </c>
      <c r="B189" s="444" t="str">
        <f t="shared" si="3"/>
        <v>Description of a practice policy and or future initiative towards a more sustainable future (In case the practice  policy  future initiative covers suppliers or clients the undertaking shall mention it)</v>
      </c>
      <c r="C189" t="s">
        <v>4057</v>
      </c>
      <c r="D189" s="90" t="s">
        <v>6983</v>
      </c>
      <c r="E189" s="90" t="s">
        <v>6267</v>
      </c>
      <c r="F189" s="90" t="s">
        <v>7351</v>
      </c>
      <c r="G189" s="90" t="s">
        <v>6641</v>
      </c>
    </row>
    <row r="190" spans="1:7" x14ac:dyDescent="0.35">
      <c r="A190" t="s">
        <v>4144</v>
      </c>
      <c r="B190" s="444" t="str">
        <f t="shared" si="3"/>
        <v>Description of target related to a policy</v>
      </c>
      <c r="C190" t="s">
        <v>3573</v>
      </c>
      <c r="D190" s="90" t="s">
        <v>6017</v>
      </c>
      <c r="E190" s="90" t="s">
        <v>6268</v>
      </c>
      <c r="F190" s="90" t="s">
        <v>7352</v>
      </c>
      <c r="G190" s="90" t="s">
        <v>6642</v>
      </c>
    </row>
    <row r="191" spans="1:7" s="12" customFormat="1" ht="15" thickBot="1" x14ac:dyDescent="0.4">
      <c r="A191" s="12" t="s">
        <v>4145</v>
      </c>
      <c r="B191" s="478" t="str">
        <f t="shared" si="3"/>
        <v>Most senior level within its employees that is accountable for implementing the policies when this has been determined by the undertaking</v>
      </c>
      <c r="C191" s="12" t="s">
        <v>4618</v>
      </c>
      <c r="D191" s="445" t="s">
        <v>6984</v>
      </c>
      <c r="E191" s="445" t="s">
        <v>6269</v>
      </c>
      <c r="F191" s="445" t="s">
        <v>7353</v>
      </c>
      <c r="G191" s="445" t="s">
        <v>6643</v>
      </c>
    </row>
    <row r="192" spans="1:7" x14ac:dyDescent="0.35">
      <c r="A192" t="s">
        <v>4146</v>
      </c>
      <c r="B192" s="444" t="str">
        <f t="shared" si="3"/>
        <v>C1 – Strategy: Business Model and Sustainability – Related Initiatives</v>
      </c>
      <c r="C192" t="s">
        <v>12</v>
      </c>
      <c r="D192" s="90" t="s">
        <v>6985</v>
      </c>
      <c r="E192" s="90" t="s">
        <v>6270</v>
      </c>
      <c r="F192" s="90" t="s">
        <v>7354</v>
      </c>
      <c r="G192" s="90" t="s">
        <v>6537</v>
      </c>
    </row>
    <row r="193" spans="1:7" x14ac:dyDescent="0.35">
      <c r="A193" t="s">
        <v>4147</v>
      </c>
      <c r="B193" s="444" t="str">
        <f t="shared" si="3"/>
        <v>Description of significant groups of products and or services offered</v>
      </c>
      <c r="C193" t="s">
        <v>3993</v>
      </c>
      <c r="D193" s="90" t="s">
        <v>6986</v>
      </c>
      <c r="E193" s="90" t="s">
        <v>6271</v>
      </c>
      <c r="F193" s="90" t="s">
        <v>7355</v>
      </c>
      <c r="G193" s="90" t="s">
        <v>6516</v>
      </c>
    </row>
    <row r="194" spans="1:7" x14ac:dyDescent="0.35">
      <c r="A194" t="s">
        <v>4148</v>
      </c>
      <c r="B194" s="444" t="str">
        <f t="shared" si="3"/>
        <v>Description of significant market(s) the undertaking operates in (e.g. B2B, wholesale, retail, countries)</v>
      </c>
      <c r="C194" t="s">
        <v>4635</v>
      </c>
      <c r="D194" s="90" t="s">
        <v>6987</v>
      </c>
      <c r="E194" s="90" t="s">
        <v>6272</v>
      </c>
      <c r="F194" s="90" t="s">
        <v>7356</v>
      </c>
      <c r="G194" s="90" t="s">
        <v>6644</v>
      </c>
    </row>
    <row r="195" spans="1:7" s="12" customFormat="1" ht="15" thickBot="1" x14ac:dyDescent="0.4">
      <c r="A195" s="12" t="s">
        <v>4368</v>
      </c>
      <c r="B195" s="478" t="str">
        <f t="shared" si="3"/>
        <v>Description of main business relationships (such as key suppliers, customers, distribution channels)</v>
      </c>
      <c r="C195" s="12" t="s">
        <v>4617</v>
      </c>
      <c r="D195" s="445" t="s">
        <v>6988</v>
      </c>
      <c r="E195" s="445" t="s">
        <v>6273</v>
      </c>
      <c r="F195" s="445" t="s">
        <v>7357</v>
      </c>
      <c r="G195" s="445" t="s">
        <v>6645</v>
      </c>
    </row>
    <row r="196" spans="1:7" x14ac:dyDescent="0.35">
      <c r="A196" t="s">
        <v>4149</v>
      </c>
      <c r="B196" s="444" t="str">
        <f t="shared" ref="B196:B259" si="4">INDEX(C196:G196,MATCH(template_selected_display_language,$C$3:$G$3,0))</f>
        <v>Has the strategy key elements that relate to or affect sustainability issues?</v>
      </c>
      <c r="C196" t="s">
        <v>3087</v>
      </c>
      <c r="D196" s="90" t="s">
        <v>6989</v>
      </c>
      <c r="E196" s="90" t="s">
        <v>6274</v>
      </c>
      <c r="F196" s="90" t="s">
        <v>7358</v>
      </c>
      <c r="G196" s="90" t="s">
        <v>6646</v>
      </c>
    </row>
    <row r="197" spans="1:7" x14ac:dyDescent="0.35">
      <c r="A197" t="s">
        <v>4150</v>
      </c>
      <c r="B197" s="444" t="str">
        <f t="shared" si="4"/>
        <v>Description of those key elements in the strategy that relate or affect sustainability issues</v>
      </c>
      <c r="C197" t="s">
        <v>3574</v>
      </c>
      <c r="D197" s="90" t="s">
        <v>6990</v>
      </c>
      <c r="E197" s="90" t="s">
        <v>6275</v>
      </c>
      <c r="F197" s="90" t="s">
        <v>7359</v>
      </c>
      <c r="G197" s="90" t="s">
        <v>6517</v>
      </c>
    </row>
    <row r="198" spans="1:7" s="12" customFormat="1" ht="15" thickBot="1" x14ac:dyDescent="0.4">
      <c r="A198" s="12" t="s">
        <v>4151</v>
      </c>
      <c r="B198" s="478" t="str">
        <f t="shared" si="4"/>
        <v>Disclosure of any other general and or entity specific information on the reporting period</v>
      </c>
      <c r="C198" s="12" t="s">
        <v>3994</v>
      </c>
      <c r="D198" s="445" t="s">
        <v>6991</v>
      </c>
      <c r="E198" s="445" t="s">
        <v>6210</v>
      </c>
      <c r="F198" s="445" t="s">
        <v>7360</v>
      </c>
      <c r="G198" s="445" t="s">
        <v>6647</v>
      </c>
    </row>
    <row r="199" spans="1:7" x14ac:dyDescent="0.35">
      <c r="A199" t="s">
        <v>4152</v>
      </c>
      <c r="B199" s="444" t="str">
        <f t="shared" si="4"/>
        <v>B3 - Total Energy Consumption (in MWh)</v>
      </c>
      <c r="C199" t="s">
        <v>3956</v>
      </c>
      <c r="D199" s="90" t="s">
        <v>6992</v>
      </c>
      <c r="E199" s="90" t="s">
        <v>5943</v>
      </c>
      <c r="F199" s="90" t="s">
        <v>7361</v>
      </c>
      <c r="G199" s="90" t="s">
        <v>6648</v>
      </c>
    </row>
    <row r="200" spans="1:7" s="12" customFormat="1" ht="15" thickBot="1" x14ac:dyDescent="0.4">
      <c r="A200" s="12" t="s">
        <v>4153</v>
      </c>
      <c r="B200" s="478" t="str">
        <f t="shared" si="4"/>
        <v>Total Energy Consumption</v>
      </c>
      <c r="C200" s="12" t="s">
        <v>2876</v>
      </c>
      <c r="D200" s="445" t="s">
        <v>6018</v>
      </c>
      <c r="E200" s="445" t="s">
        <v>5944</v>
      </c>
      <c r="F200" s="445" t="s">
        <v>6095</v>
      </c>
      <c r="G200" s="445" t="s">
        <v>6649</v>
      </c>
    </row>
    <row r="201" spans="1:7" x14ac:dyDescent="0.35">
      <c r="A201" t="s">
        <v>4154</v>
      </c>
      <c r="B201" s="444" t="str">
        <f t="shared" si="4"/>
        <v>B3 - Breakdown of energy consumption (in MWh)</v>
      </c>
      <c r="C201" t="s">
        <v>3957</v>
      </c>
      <c r="D201" s="90" t="s">
        <v>6993</v>
      </c>
      <c r="E201" s="90" t="s">
        <v>5945</v>
      </c>
      <c r="F201" s="90" t="s">
        <v>7362</v>
      </c>
      <c r="G201" s="90" t="s">
        <v>5757</v>
      </c>
    </row>
    <row r="202" spans="1:7" x14ac:dyDescent="0.35">
      <c r="A202" t="s">
        <v>4155</v>
      </c>
      <c r="B202" s="444" t="str">
        <f t="shared" si="4"/>
        <v>Has the undertaking obtained the necessary information to provide an energy consumption breakdown?</v>
      </c>
      <c r="C202" t="s">
        <v>3086</v>
      </c>
      <c r="D202" s="90" t="s">
        <v>6994</v>
      </c>
      <c r="E202" s="90" t="s">
        <v>6276</v>
      </c>
      <c r="F202" s="90" t="s">
        <v>7363</v>
      </c>
      <c r="G202" s="90" t="s">
        <v>5758</v>
      </c>
    </row>
    <row r="203" spans="1:7" x14ac:dyDescent="0.35">
      <c r="A203" t="s">
        <v>4156</v>
      </c>
      <c r="B203" s="444" t="str">
        <f t="shared" si="4"/>
        <v>Renewable</v>
      </c>
      <c r="C203" t="s">
        <v>3050</v>
      </c>
      <c r="D203" s="90" t="s">
        <v>6995</v>
      </c>
      <c r="E203" s="90" t="s">
        <v>5946</v>
      </c>
      <c r="F203" s="90" t="s">
        <v>5861</v>
      </c>
      <c r="G203" s="90" t="s">
        <v>5759</v>
      </c>
    </row>
    <row r="204" spans="1:7" x14ac:dyDescent="0.35">
      <c r="A204" t="s">
        <v>4157</v>
      </c>
      <c r="B204" s="444" t="str">
        <f t="shared" si="4"/>
        <v>Non-renewable</v>
      </c>
      <c r="C204" t="s">
        <v>3051</v>
      </c>
      <c r="D204" s="90" t="s">
        <v>6996</v>
      </c>
      <c r="E204" s="90" t="s">
        <v>6277</v>
      </c>
      <c r="F204" s="90" t="s">
        <v>5862</v>
      </c>
      <c r="G204" s="90" t="s">
        <v>5760</v>
      </c>
    </row>
    <row r="205" spans="1:7" x14ac:dyDescent="0.35">
      <c r="A205" t="s">
        <v>4158</v>
      </c>
      <c r="B205" s="444" t="str">
        <f t="shared" si="4"/>
        <v>Total renewable and non-renewable</v>
      </c>
      <c r="C205" t="s">
        <v>3052</v>
      </c>
      <c r="D205" s="90" t="s">
        <v>6997</v>
      </c>
      <c r="E205" s="90" t="s">
        <v>6278</v>
      </c>
      <c r="F205" s="90" t="s">
        <v>5863</v>
      </c>
      <c r="G205" s="90" t="s">
        <v>5761</v>
      </c>
    </row>
    <row r="206" spans="1:7" x14ac:dyDescent="0.35">
      <c r="A206" t="s">
        <v>4159</v>
      </c>
      <c r="B206" s="444" t="str">
        <f t="shared" si="4"/>
        <v>Electricity (as reflected in utility billings)</v>
      </c>
      <c r="C206" t="s">
        <v>13</v>
      </c>
      <c r="D206" s="90" t="s">
        <v>6998</v>
      </c>
      <c r="E206" s="90" t="s">
        <v>6279</v>
      </c>
      <c r="F206" s="90" t="s">
        <v>7364</v>
      </c>
      <c r="G206" s="90" t="s">
        <v>6650</v>
      </c>
    </row>
    <row r="207" spans="1:7" x14ac:dyDescent="0.35">
      <c r="A207" t="s">
        <v>4160</v>
      </c>
      <c r="B207" s="444" t="str">
        <f t="shared" si="4"/>
        <v>Self-generated electricity</v>
      </c>
      <c r="C207" t="s">
        <v>3958</v>
      </c>
      <c r="D207" s="90" t="s">
        <v>6999</v>
      </c>
      <c r="E207" s="90" t="s">
        <v>6280</v>
      </c>
      <c r="F207" s="90" t="s">
        <v>7365</v>
      </c>
      <c r="G207" s="90" t="s">
        <v>6651</v>
      </c>
    </row>
    <row r="208" spans="1:7" s="12" customFormat="1" ht="15" thickBot="1" x14ac:dyDescent="0.4">
      <c r="A208" s="12" t="s">
        <v>4161</v>
      </c>
      <c r="B208" s="478" t="str">
        <f t="shared" si="4"/>
        <v>Fuels (see Fuel Converter on Fuels worksheet)</v>
      </c>
      <c r="C208" s="12" t="s">
        <v>3959</v>
      </c>
      <c r="D208" s="445" t="s">
        <v>7000</v>
      </c>
      <c r="E208" s="445" t="s">
        <v>6281</v>
      </c>
      <c r="F208" s="445" t="s">
        <v>7366</v>
      </c>
      <c r="G208" s="445" t="s">
        <v>6652</v>
      </c>
    </row>
    <row r="209" spans="1:7" x14ac:dyDescent="0.35">
      <c r="A209" t="s">
        <v>4162</v>
      </c>
      <c r="B209" s="444" t="str">
        <f t="shared" si="4"/>
        <v>B3 - Estimated Greenhouse Gas Emissions considering the GHG Protocol Version 2004 (in tCO2e)</v>
      </c>
      <c r="C209" t="s">
        <v>4008</v>
      </c>
      <c r="D209" s="90" t="s">
        <v>7001</v>
      </c>
      <c r="E209" s="90" t="s">
        <v>6282</v>
      </c>
      <c r="F209" s="90" t="s">
        <v>7367</v>
      </c>
      <c r="G209" s="90" t="s">
        <v>6653</v>
      </c>
    </row>
    <row r="210" spans="1:7" x14ac:dyDescent="0.35">
      <c r="A210" t="s">
        <v>4163</v>
      </c>
      <c r="B210" s="444" t="str">
        <f t="shared" si="4"/>
        <v>C3 - GHG reduction targets (in tC02e)</v>
      </c>
      <c r="C210" t="s">
        <v>4009</v>
      </c>
      <c r="D210" s="90" t="s">
        <v>7002</v>
      </c>
      <c r="E210" s="90" t="s">
        <v>6283</v>
      </c>
      <c r="F210" s="90" t="s">
        <v>7368</v>
      </c>
      <c r="G210" s="90" t="s">
        <v>6654</v>
      </c>
    </row>
    <row r="211" spans="1:7" x14ac:dyDescent="0.35">
      <c r="A211" t="s">
        <v>4164</v>
      </c>
      <c r="B211" s="444" t="str">
        <f t="shared" si="4"/>
        <v>Has  the undertaking has established GHG emission reduction targets?</v>
      </c>
      <c r="C211" t="s">
        <v>3960</v>
      </c>
      <c r="D211" s="90" t="s">
        <v>7003</v>
      </c>
      <c r="E211" s="90" t="s">
        <v>6284</v>
      </c>
      <c r="F211" s="90" t="s">
        <v>7369</v>
      </c>
      <c r="G211" s="90" t="s">
        <v>6655</v>
      </c>
    </row>
    <row r="212" spans="1:7" x14ac:dyDescent="0.35">
      <c r="A212" t="s">
        <v>4165</v>
      </c>
      <c r="B212" s="444" t="str">
        <f t="shared" si="4"/>
        <v>Current Reporting Period</v>
      </c>
      <c r="C212" t="s">
        <v>14</v>
      </c>
      <c r="D212" s="90" t="s">
        <v>6056</v>
      </c>
      <c r="E212" s="90" t="s">
        <v>5947</v>
      </c>
      <c r="F212" s="90" t="s">
        <v>7370</v>
      </c>
      <c r="G212" s="90" t="s">
        <v>6656</v>
      </c>
    </row>
    <row r="213" spans="1:7" x14ac:dyDescent="0.35">
      <c r="A213" t="s">
        <v>4166</v>
      </c>
      <c r="B213" s="444" t="str">
        <f t="shared" si="4"/>
        <v>Base Year</v>
      </c>
      <c r="C213" t="s">
        <v>3534</v>
      </c>
      <c r="D213" s="90" t="s">
        <v>7004</v>
      </c>
      <c r="E213" s="90" t="s">
        <v>5948</v>
      </c>
      <c r="F213" s="90" t="s">
        <v>6096</v>
      </c>
      <c r="G213" s="90" t="s">
        <v>6657</v>
      </c>
    </row>
    <row r="214" spans="1:7" x14ac:dyDescent="0.35">
      <c r="A214" t="s">
        <v>4167</v>
      </c>
      <c r="B214" s="444" t="str">
        <f t="shared" si="4"/>
        <v>Target Year</v>
      </c>
      <c r="C214" t="s">
        <v>3535</v>
      </c>
      <c r="D214" s="90" t="s">
        <v>6019</v>
      </c>
      <c r="E214" s="90" t="s">
        <v>5949</v>
      </c>
      <c r="F214" s="90" t="s">
        <v>7371</v>
      </c>
      <c r="G214" s="90" t="s">
        <v>5762</v>
      </c>
    </row>
    <row r="215" spans="1:7" x14ac:dyDescent="0.35">
      <c r="A215" t="s">
        <v>4168</v>
      </c>
      <c r="B215" s="444" t="str">
        <f t="shared" si="4"/>
        <v>Percentage reduction from base year</v>
      </c>
      <c r="C215" t="s">
        <v>3548</v>
      </c>
      <c r="D215" s="90" t="s">
        <v>7005</v>
      </c>
      <c r="E215" s="90" t="s">
        <v>6285</v>
      </c>
      <c r="F215" s="90" t="s">
        <v>7372</v>
      </c>
      <c r="G215" s="90" t="s">
        <v>6658</v>
      </c>
    </row>
    <row r="216" spans="1:7" x14ac:dyDescent="0.35">
      <c r="A216" t="s">
        <v>4169</v>
      </c>
      <c r="B216" s="444" t="str">
        <f t="shared" si="4"/>
        <v>Year (date)</v>
      </c>
      <c r="C216" t="s">
        <v>2914</v>
      </c>
      <c r="D216" s="90" t="s">
        <v>6020</v>
      </c>
      <c r="E216" s="90" t="s">
        <v>5950</v>
      </c>
      <c r="F216" s="90" t="s">
        <v>5864</v>
      </c>
      <c r="G216" s="90" t="s">
        <v>5763</v>
      </c>
    </row>
    <row r="217" spans="1:7" x14ac:dyDescent="0.35">
      <c r="A217" t="s">
        <v>4170</v>
      </c>
      <c r="B217" s="444" t="str">
        <f t="shared" si="4"/>
        <v>Gross Scope 1 GHG Emissions</v>
      </c>
      <c r="C217" t="s">
        <v>3536</v>
      </c>
      <c r="D217" s="90" t="s">
        <v>7006</v>
      </c>
      <c r="E217" s="90" t="s">
        <v>6286</v>
      </c>
      <c r="F217" s="90" t="s">
        <v>7373</v>
      </c>
      <c r="G217" s="90" t="s">
        <v>6659</v>
      </c>
    </row>
    <row r="218" spans="1:7" x14ac:dyDescent="0.35">
      <c r="A218" t="s">
        <v>4171</v>
      </c>
      <c r="B218" s="444" t="str">
        <f t="shared" si="4"/>
        <v>Gross Scope 2 location-based GHG Emissions</v>
      </c>
      <c r="C218" t="s">
        <v>3537</v>
      </c>
      <c r="D218" s="90" t="s">
        <v>7007</v>
      </c>
      <c r="E218" s="90" t="s">
        <v>6287</v>
      </c>
      <c r="F218" s="90" t="s">
        <v>7374</v>
      </c>
      <c r="G218" s="90" t="s">
        <v>5764</v>
      </c>
    </row>
    <row r="219" spans="1:7" x14ac:dyDescent="0.35">
      <c r="A219" t="s">
        <v>4172</v>
      </c>
      <c r="B219" s="444" t="str">
        <f t="shared" si="4"/>
        <v>Gross scope 2 market-based GHG Emissions</v>
      </c>
      <c r="C219" t="s">
        <v>3995</v>
      </c>
      <c r="D219" s="90" t="s">
        <v>7008</v>
      </c>
      <c r="E219" s="90" t="s">
        <v>6288</v>
      </c>
      <c r="F219" s="90" t="s">
        <v>7375</v>
      </c>
      <c r="G219" s="90" t="s">
        <v>6660</v>
      </c>
    </row>
    <row r="220" spans="1:7" x14ac:dyDescent="0.35">
      <c r="A220" t="s">
        <v>4173</v>
      </c>
      <c r="B220" s="444" t="str">
        <f t="shared" si="4"/>
        <v>Total Scope 1 and Scope 2 GHG Emissions (location-based)</v>
      </c>
      <c r="C220" t="s">
        <v>3538</v>
      </c>
      <c r="D220" s="90" t="s">
        <v>7009</v>
      </c>
      <c r="E220" s="90" t="s">
        <v>6289</v>
      </c>
      <c r="F220" s="90" t="s">
        <v>7376</v>
      </c>
      <c r="G220" s="90" t="s">
        <v>6661</v>
      </c>
    </row>
    <row r="221" spans="1:7" x14ac:dyDescent="0.35">
      <c r="A221" t="s">
        <v>4174</v>
      </c>
      <c r="B221" s="444" t="str">
        <f t="shared" si="4"/>
        <v>Total Scope 1 and Scope 2 GHG emissions  (market-based)</v>
      </c>
      <c r="C221" t="s">
        <v>4010</v>
      </c>
      <c r="D221" s="90" t="s">
        <v>7009</v>
      </c>
      <c r="E221" s="90" t="s">
        <v>6290</v>
      </c>
      <c r="F221" s="90" t="s">
        <v>7377</v>
      </c>
      <c r="G221" s="90" t="s">
        <v>6662</v>
      </c>
    </row>
    <row r="222" spans="1:7" x14ac:dyDescent="0.35">
      <c r="A222" t="s">
        <v>4175</v>
      </c>
      <c r="B222" s="444" t="str">
        <f t="shared" si="4"/>
        <v>Is the undertaking disclosing entity-specific information on Scope 3 emissions (in tCO2e)?</v>
      </c>
      <c r="C222" t="s">
        <v>3679</v>
      </c>
      <c r="D222" s="90" t="s">
        <v>7010</v>
      </c>
      <c r="E222" s="90" t="s">
        <v>6291</v>
      </c>
      <c r="F222" s="90" t="s">
        <v>7378</v>
      </c>
      <c r="G222" s="90" t="s">
        <v>6518</v>
      </c>
    </row>
    <row r="223" spans="1:7" x14ac:dyDescent="0.35">
      <c r="A223" t="s">
        <v>4176</v>
      </c>
      <c r="B223" s="444" t="str">
        <f t="shared" si="4"/>
        <v>1. Purchased Goods and Services</v>
      </c>
      <c r="C223" t="s">
        <v>3961</v>
      </c>
      <c r="D223" s="90" t="s">
        <v>7011</v>
      </c>
      <c r="E223" s="90" t="s">
        <v>5951</v>
      </c>
      <c r="F223" s="90" t="s">
        <v>6097</v>
      </c>
      <c r="G223" s="90" t="s">
        <v>5765</v>
      </c>
    </row>
    <row r="224" spans="1:7" x14ac:dyDescent="0.35">
      <c r="A224" t="s">
        <v>4177</v>
      </c>
      <c r="B224" s="444" t="str">
        <f t="shared" si="4"/>
        <v>2. Capital Goods</v>
      </c>
      <c r="C224" t="s">
        <v>3962</v>
      </c>
      <c r="D224" s="90" t="s">
        <v>7012</v>
      </c>
      <c r="E224" s="90" t="s">
        <v>5952</v>
      </c>
      <c r="F224" s="90" t="s">
        <v>7379</v>
      </c>
      <c r="G224" s="90" t="s">
        <v>5766</v>
      </c>
    </row>
    <row r="225" spans="1:7" x14ac:dyDescent="0.35">
      <c r="A225" t="s">
        <v>4178</v>
      </c>
      <c r="B225" s="444" t="str">
        <f t="shared" si="4"/>
        <v>3. Fuel- and Energy-Related Activities (Not Included in Scope 1 or Scope 2)</v>
      </c>
      <c r="C225" t="s">
        <v>3563</v>
      </c>
      <c r="D225" s="90" t="s">
        <v>7013</v>
      </c>
      <c r="E225" s="90" t="s">
        <v>6292</v>
      </c>
      <c r="F225" s="90" t="s">
        <v>7380</v>
      </c>
      <c r="G225" s="90" t="s">
        <v>6663</v>
      </c>
    </row>
    <row r="226" spans="1:7" x14ac:dyDescent="0.35">
      <c r="A226" t="s">
        <v>4179</v>
      </c>
      <c r="B226" s="444" t="str">
        <f t="shared" si="4"/>
        <v>4. Upstream Transportation and Distribution</v>
      </c>
      <c r="C226" t="s">
        <v>3963</v>
      </c>
      <c r="D226" s="90" t="s">
        <v>7014</v>
      </c>
      <c r="E226" s="90" t="s">
        <v>6293</v>
      </c>
      <c r="F226" s="90" t="s">
        <v>5865</v>
      </c>
      <c r="G226" s="90" t="s">
        <v>5767</v>
      </c>
    </row>
    <row r="227" spans="1:7" x14ac:dyDescent="0.35">
      <c r="A227" t="s">
        <v>4180</v>
      </c>
      <c r="B227" s="444" t="str">
        <f t="shared" si="4"/>
        <v>5. Waste Generated in Operations</v>
      </c>
      <c r="C227" t="s">
        <v>3964</v>
      </c>
      <c r="D227" s="90" t="s">
        <v>7015</v>
      </c>
      <c r="E227" s="90" t="s">
        <v>6294</v>
      </c>
      <c r="F227" s="90" t="s">
        <v>7381</v>
      </c>
      <c r="G227" s="90" t="s">
        <v>5768</v>
      </c>
    </row>
    <row r="228" spans="1:7" x14ac:dyDescent="0.35">
      <c r="A228" t="s">
        <v>4181</v>
      </c>
      <c r="B228" s="444" t="str">
        <f t="shared" si="4"/>
        <v>6. Business Travel</v>
      </c>
      <c r="C228" t="s">
        <v>3965</v>
      </c>
      <c r="D228" s="90" t="s">
        <v>6021</v>
      </c>
      <c r="E228" s="90" t="s">
        <v>5953</v>
      </c>
      <c r="F228" s="90" t="s">
        <v>7382</v>
      </c>
      <c r="G228" s="90" t="s">
        <v>5769</v>
      </c>
    </row>
    <row r="229" spans="1:7" x14ac:dyDescent="0.35">
      <c r="A229" t="s">
        <v>4182</v>
      </c>
      <c r="B229" s="444" t="str">
        <f t="shared" si="4"/>
        <v>7. Employee Commuting</v>
      </c>
      <c r="C229" t="s">
        <v>3966</v>
      </c>
      <c r="D229" s="90" t="s">
        <v>7016</v>
      </c>
      <c r="E229" s="90" t="s">
        <v>5954</v>
      </c>
      <c r="F229" s="90" t="s">
        <v>7383</v>
      </c>
      <c r="G229" s="90" t="s">
        <v>6664</v>
      </c>
    </row>
    <row r="230" spans="1:7" x14ac:dyDescent="0.35">
      <c r="A230" t="s">
        <v>4183</v>
      </c>
      <c r="B230" s="444" t="str">
        <f t="shared" si="4"/>
        <v>8. Upstream Leased Assets</v>
      </c>
      <c r="C230" t="s">
        <v>3967</v>
      </c>
      <c r="D230" s="90" t="s">
        <v>7017</v>
      </c>
      <c r="E230" s="90" t="s">
        <v>6295</v>
      </c>
      <c r="F230" s="90" t="s">
        <v>7384</v>
      </c>
      <c r="G230" s="90" t="s">
        <v>6519</v>
      </c>
    </row>
    <row r="231" spans="1:7" x14ac:dyDescent="0.35">
      <c r="A231" t="s">
        <v>4184</v>
      </c>
      <c r="B231" s="444" t="str">
        <f t="shared" si="4"/>
        <v>9. Downstream Transportation and Distribution</v>
      </c>
      <c r="C231" t="s">
        <v>3968</v>
      </c>
      <c r="D231" s="90" t="s">
        <v>7018</v>
      </c>
      <c r="E231" s="90" t="s">
        <v>6296</v>
      </c>
      <c r="F231" s="90" t="s">
        <v>7385</v>
      </c>
      <c r="G231" s="90" t="s">
        <v>5770</v>
      </c>
    </row>
    <row r="232" spans="1:7" x14ac:dyDescent="0.35">
      <c r="A232" t="s">
        <v>4185</v>
      </c>
      <c r="B232" s="444" t="str">
        <f t="shared" si="4"/>
        <v>10. Processing of Sold Products</v>
      </c>
      <c r="C232" t="s">
        <v>3969</v>
      </c>
      <c r="D232" s="90" t="s">
        <v>7019</v>
      </c>
      <c r="E232" s="90" t="s">
        <v>5955</v>
      </c>
      <c r="F232" s="90" t="s">
        <v>7580</v>
      </c>
      <c r="G232" s="90" t="s">
        <v>5771</v>
      </c>
    </row>
    <row r="233" spans="1:7" x14ac:dyDescent="0.35">
      <c r="A233" t="s">
        <v>4186</v>
      </c>
      <c r="B233" s="444" t="str">
        <f t="shared" si="4"/>
        <v>11. Use of Sold Products</v>
      </c>
      <c r="C233" t="s">
        <v>3970</v>
      </c>
      <c r="D233" s="90" t="s">
        <v>7020</v>
      </c>
      <c r="E233" s="90" t="s">
        <v>6297</v>
      </c>
      <c r="F233" s="90" t="s">
        <v>5866</v>
      </c>
      <c r="G233" s="90" t="s">
        <v>6665</v>
      </c>
    </row>
    <row r="234" spans="1:7" x14ac:dyDescent="0.35">
      <c r="A234" t="s">
        <v>4187</v>
      </c>
      <c r="B234" s="444" t="str">
        <f t="shared" si="4"/>
        <v>12. End-of-Life Treatment of Sold Products</v>
      </c>
      <c r="C234" t="s">
        <v>3971</v>
      </c>
      <c r="D234" s="90" t="s">
        <v>7021</v>
      </c>
      <c r="E234" s="90" t="s">
        <v>6298</v>
      </c>
      <c r="F234" s="90" t="s">
        <v>7581</v>
      </c>
      <c r="G234" s="90" t="s">
        <v>5772</v>
      </c>
    </row>
    <row r="235" spans="1:7" x14ac:dyDescent="0.35">
      <c r="A235" t="s">
        <v>4188</v>
      </c>
      <c r="B235" s="444" t="str">
        <f t="shared" si="4"/>
        <v>13. Downstream Leased Assets</v>
      </c>
      <c r="C235" t="s">
        <v>3972</v>
      </c>
      <c r="D235" s="90" t="s">
        <v>7022</v>
      </c>
      <c r="E235" s="90" t="s">
        <v>6299</v>
      </c>
      <c r="F235" s="90" t="s">
        <v>7386</v>
      </c>
      <c r="G235" s="90" t="s">
        <v>5773</v>
      </c>
    </row>
    <row r="236" spans="1:7" x14ac:dyDescent="0.35">
      <c r="A236" t="s">
        <v>4189</v>
      </c>
      <c r="B236" s="444" t="str">
        <f t="shared" si="4"/>
        <v>14. Franchises</v>
      </c>
      <c r="C236" t="s">
        <v>3973</v>
      </c>
      <c r="D236" s="90" t="s">
        <v>6022</v>
      </c>
      <c r="E236" s="90" t="s">
        <v>6078</v>
      </c>
      <c r="F236" s="90" t="s">
        <v>6098</v>
      </c>
      <c r="G236" s="90" t="s">
        <v>5774</v>
      </c>
    </row>
    <row r="237" spans="1:7" x14ac:dyDescent="0.35">
      <c r="A237" t="s">
        <v>4190</v>
      </c>
      <c r="B237" s="444" t="str">
        <f t="shared" si="4"/>
        <v>15. Investments</v>
      </c>
      <c r="C237" t="s">
        <v>3552</v>
      </c>
      <c r="D237" s="90" t="s">
        <v>7023</v>
      </c>
      <c r="E237" s="90" t="s">
        <v>6079</v>
      </c>
      <c r="F237" s="90" t="s">
        <v>5867</v>
      </c>
      <c r="G237" s="90" t="s">
        <v>5775</v>
      </c>
    </row>
    <row r="238" spans="1:7" x14ac:dyDescent="0.35">
      <c r="A238" t="s">
        <v>4191</v>
      </c>
      <c r="B238" s="444" t="str">
        <f t="shared" si="4"/>
        <v>Total Scope 3 GHG  emissions</v>
      </c>
      <c r="C238" t="s">
        <v>3577</v>
      </c>
      <c r="D238" s="90" t="s">
        <v>7024</v>
      </c>
      <c r="E238" s="90" t="s">
        <v>6300</v>
      </c>
      <c r="F238" s="90" t="s">
        <v>7387</v>
      </c>
      <c r="G238" s="90" t="s">
        <v>6666</v>
      </c>
    </row>
    <row r="239" spans="1:7" x14ac:dyDescent="0.35">
      <c r="A239" t="s">
        <v>4192</v>
      </c>
      <c r="B239" s="444" t="str">
        <f t="shared" si="4"/>
        <v>Total Scope 1 Scope 2 and Scope 3 GHG Emissions (location-based)</v>
      </c>
      <c r="C239" t="s">
        <v>4035</v>
      </c>
      <c r="D239" s="90" t="s">
        <v>7025</v>
      </c>
      <c r="E239" s="90" t="s">
        <v>6301</v>
      </c>
      <c r="F239" s="90" t="s">
        <v>7388</v>
      </c>
      <c r="G239" s="90" t="s">
        <v>6667</v>
      </c>
    </row>
    <row r="240" spans="1:7" s="12" customFormat="1" ht="15" thickBot="1" x14ac:dyDescent="0.4">
      <c r="A240" s="12" t="s">
        <v>4193</v>
      </c>
      <c r="B240" s="478" t="str">
        <f t="shared" si="4"/>
        <v>Total Scope 1 Scope 2 and Scope 3 GHG Emissions (market-based)</v>
      </c>
      <c r="C240" s="12" t="s">
        <v>4036</v>
      </c>
      <c r="D240" s="445" t="s">
        <v>7026</v>
      </c>
      <c r="E240" s="445" t="s">
        <v>6302</v>
      </c>
      <c r="F240" s="445" t="s">
        <v>7389</v>
      </c>
      <c r="G240" s="445" t="s">
        <v>6668</v>
      </c>
    </row>
    <row r="241" spans="1:7" x14ac:dyDescent="0.35">
      <c r="A241" t="s">
        <v>4194</v>
      </c>
      <c r="B241" s="444" t="str">
        <f t="shared" si="4"/>
        <v>C3 - Disclosure of list of main actions the entity seeks in order to achieve its targets</v>
      </c>
      <c r="C241" t="s">
        <v>4011</v>
      </c>
      <c r="D241" s="90" t="s">
        <v>7027</v>
      </c>
      <c r="E241" s="90" t="s">
        <v>6303</v>
      </c>
      <c r="F241" s="90" t="s">
        <v>7390</v>
      </c>
      <c r="G241" s="90" t="s">
        <v>6669</v>
      </c>
    </row>
    <row r="242" spans="1:7" x14ac:dyDescent="0.35">
      <c r="A242" t="s">
        <v>4195</v>
      </c>
      <c r="B242" s="444" t="str">
        <f t="shared" si="4"/>
        <v>C3 - Transition plan for undertakings operating in high climate impact sectors</v>
      </c>
      <c r="C242" t="s">
        <v>4012</v>
      </c>
      <c r="D242" s="90" t="s">
        <v>7028</v>
      </c>
      <c r="E242" s="90" t="s">
        <v>6304</v>
      </c>
      <c r="F242" s="90" t="s">
        <v>7391</v>
      </c>
      <c r="G242" s="90" t="s">
        <v>6670</v>
      </c>
    </row>
    <row r="243" spans="1:7" x14ac:dyDescent="0.35">
      <c r="A243" t="s">
        <v>4196</v>
      </c>
      <c r="B243" s="444" t="str">
        <f t="shared" si="4"/>
        <v>Is the undertaking operating in high impact sectors?</v>
      </c>
      <c r="C243" t="s">
        <v>3974</v>
      </c>
      <c r="D243" s="90" t="s">
        <v>7029</v>
      </c>
      <c r="E243" s="90" t="s">
        <v>6305</v>
      </c>
      <c r="F243" s="90" t="s">
        <v>7392</v>
      </c>
      <c r="G243" s="90" t="s">
        <v>5776</v>
      </c>
    </row>
    <row r="244" spans="1:7" x14ac:dyDescent="0.35">
      <c r="A244" t="s">
        <v>4197</v>
      </c>
      <c r="B244" s="444" t="str">
        <f t="shared" si="4"/>
        <v>Status of implementation of a transition plan in relation to climate change mitigation</v>
      </c>
      <c r="C244" t="s">
        <v>3975</v>
      </c>
      <c r="D244" s="90" t="s">
        <v>7030</v>
      </c>
      <c r="E244" s="90" t="s">
        <v>6306</v>
      </c>
      <c r="F244" s="90" t="s">
        <v>7393</v>
      </c>
      <c r="G244" s="90" t="s">
        <v>6671</v>
      </c>
    </row>
    <row r="245" spans="1:7" x14ac:dyDescent="0.35">
      <c r="A245" t="s">
        <v>4198</v>
      </c>
      <c r="B245" s="444" t="str">
        <f t="shared" si="4"/>
        <v>Description of a transition plan for climate change mitigation including an explanation of how it is contributing to reduce GHG emissions</v>
      </c>
      <c r="C245" t="s">
        <v>4037</v>
      </c>
      <c r="D245" s="90" t="s">
        <v>7031</v>
      </c>
      <c r="E245" s="90" t="s">
        <v>6307</v>
      </c>
      <c r="F245" s="90" t="s">
        <v>7394</v>
      </c>
      <c r="G245" s="90" t="s">
        <v>6672</v>
      </c>
    </row>
    <row r="246" spans="1:7" x14ac:dyDescent="0.35">
      <c r="A246" t="s">
        <v>4199</v>
      </c>
      <c r="B246" s="444" t="str">
        <f t="shared" si="4"/>
        <v>Date of foreseen adoption of transition plan for undertaking not having adopted transition plan yet</v>
      </c>
      <c r="C246" t="s">
        <v>3542</v>
      </c>
      <c r="D246" s="90" t="s">
        <v>7032</v>
      </c>
      <c r="E246" s="90" t="s">
        <v>6308</v>
      </c>
      <c r="F246" s="90" t="s">
        <v>7395</v>
      </c>
      <c r="G246" s="90" t="s">
        <v>6673</v>
      </c>
    </row>
    <row r="247" spans="1:7" x14ac:dyDescent="0.35">
      <c r="A247" t="s">
        <v>4200</v>
      </c>
      <c r="B247" s="444" t="str">
        <f t="shared" si="4"/>
        <v>Year</v>
      </c>
      <c r="C247" t="s">
        <v>3025</v>
      </c>
      <c r="D247" s="90" t="s">
        <v>6065</v>
      </c>
      <c r="E247" s="90" t="s">
        <v>5696</v>
      </c>
      <c r="F247" s="90" t="s">
        <v>5868</v>
      </c>
      <c r="G247" s="90" t="s">
        <v>5777</v>
      </c>
    </row>
    <row r="248" spans="1:7" x14ac:dyDescent="0.35">
      <c r="A248" t="s">
        <v>4201</v>
      </c>
      <c r="B248" s="444" t="str">
        <f t="shared" si="4"/>
        <v>Month</v>
      </c>
      <c r="C248" t="s">
        <v>3026</v>
      </c>
      <c r="D248" s="90" t="s">
        <v>6023</v>
      </c>
      <c r="E248" s="90" t="s">
        <v>5956</v>
      </c>
      <c r="F248" s="90" t="s">
        <v>6099</v>
      </c>
      <c r="G248" s="90" t="s">
        <v>5778</v>
      </c>
    </row>
    <row r="249" spans="1:7" x14ac:dyDescent="0.35">
      <c r="A249" t="s">
        <v>4202</v>
      </c>
      <c r="B249" s="444" t="str">
        <f t="shared" si="4"/>
        <v>Day</v>
      </c>
      <c r="C249" t="s">
        <v>3777</v>
      </c>
      <c r="D249" s="90" t="s">
        <v>6055</v>
      </c>
      <c r="E249" s="90" t="s">
        <v>5957</v>
      </c>
      <c r="F249" s="90" t="s">
        <v>5869</v>
      </c>
      <c r="G249" s="90" t="s">
        <v>5779</v>
      </c>
    </row>
    <row r="250" spans="1:7" x14ac:dyDescent="0.35">
      <c r="A250" t="s">
        <v>4203</v>
      </c>
      <c r="B250" s="444" t="str">
        <f t="shared" si="4"/>
        <v>B3 - Greenhouse gas emission intensity per turnover (in tCO2e)</v>
      </c>
      <c r="C250" t="s">
        <v>4013</v>
      </c>
      <c r="D250" s="90" t="s">
        <v>7033</v>
      </c>
      <c r="E250" s="90" t="s">
        <v>6309</v>
      </c>
      <c r="F250" s="90" t="s">
        <v>7396</v>
      </c>
      <c r="G250" s="90" t="s">
        <v>6674</v>
      </c>
    </row>
    <row r="251" spans="1:7" x14ac:dyDescent="0.35">
      <c r="A251" t="s">
        <v>4204</v>
      </c>
      <c r="B251" s="444" t="str">
        <f t="shared" si="4"/>
        <v>Scope 1 and Scope 2 GHG Emissions intensity (location-based)</v>
      </c>
      <c r="C251" t="s">
        <v>4014</v>
      </c>
      <c r="D251" s="90" t="s">
        <v>7034</v>
      </c>
      <c r="E251" s="90" t="s">
        <v>6310</v>
      </c>
      <c r="F251" s="90" t="s">
        <v>7397</v>
      </c>
      <c r="G251" s="90" t="s">
        <v>6675</v>
      </c>
    </row>
    <row r="252" spans="1:7" x14ac:dyDescent="0.35">
      <c r="A252" t="s">
        <v>4205</v>
      </c>
      <c r="B252" s="444" t="str">
        <f t="shared" si="4"/>
        <v>Scope 1 and Scope 2 GHG Emissions intensity (market-based)</v>
      </c>
      <c r="C252" t="s">
        <v>4015</v>
      </c>
      <c r="D252" s="90" t="s">
        <v>7035</v>
      </c>
      <c r="E252" s="90" t="s">
        <v>6311</v>
      </c>
      <c r="F252" s="90" t="s">
        <v>7398</v>
      </c>
      <c r="G252" s="90" t="s">
        <v>6676</v>
      </c>
    </row>
    <row r="253" spans="1:7" x14ac:dyDescent="0.35">
      <c r="A253" t="s">
        <v>4206</v>
      </c>
      <c r="B253" s="444" t="str">
        <f t="shared" si="4"/>
        <v>Total Scope 1 Scope 2 and Scope 3 GHG Emissions intensity (location-based)</v>
      </c>
      <c r="C253" t="s">
        <v>4038</v>
      </c>
      <c r="D253" s="90" t="s">
        <v>7036</v>
      </c>
      <c r="E253" s="90" t="s">
        <v>6312</v>
      </c>
      <c r="F253" s="90" t="s">
        <v>7399</v>
      </c>
      <c r="G253" s="90" t="s">
        <v>6677</v>
      </c>
    </row>
    <row r="254" spans="1:7" s="12" customFormat="1" ht="15" thickBot="1" x14ac:dyDescent="0.4">
      <c r="A254" s="12" t="s">
        <v>4207</v>
      </c>
      <c r="B254" s="478" t="str">
        <f t="shared" si="4"/>
        <v>Total Scope 1 Scope 2 and Scope 3 GHG Emissions intensity (market-based)</v>
      </c>
      <c r="C254" s="12" t="s">
        <v>4039</v>
      </c>
      <c r="D254" s="445" t="s">
        <v>7037</v>
      </c>
      <c r="E254" s="445" t="s">
        <v>6313</v>
      </c>
      <c r="F254" s="445" t="s">
        <v>7400</v>
      </c>
      <c r="G254" s="445" t="s">
        <v>6678</v>
      </c>
    </row>
    <row r="255" spans="1:7" x14ac:dyDescent="0.35">
      <c r="A255" t="s">
        <v>4208</v>
      </c>
      <c r="B255" s="444" t="str">
        <f t="shared" si="4"/>
        <v>B4 – Pollution of air water and soil</v>
      </c>
      <c r="C255" t="s">
        <v>4040</v>
      </c>
      <c r="D255" s="90" t="s">
        <v>6024</v>
      </c>
      <c r="E255" s="90" t="s">
        <v>5958</v>
      </c>
      <c r="F255" s="90" t="s">
        <v>7276</v>
      </c>
      <c r="G255" s="90" t="s">
        <v>6587</v>
      </c>
    </row>
    <row r="256" spans="1:7" x14ac:dyDescent="0.35">
      <c r="A256" t="s">
        <v>4209</v>
      </c>
      <c r="B256" s="444" t="str">
        <f t="shared" si="4"/>
        <v>Is the undertaking already required by law or other national regulations to report to competent authorities its emissions of pollutants or does it already voluntarily report on them according to an Environmental Management System?</v>
      </c>
      <c r="C256" t="s">
        <v>4041</v>
      </c>
      <c r="D256" s="90" t="s">
        <v>7038</v>
      </c>
      <c r="E256" s="90" t="s">
        <v>6314</v>
      </c>
      <c r="F256" s="90" t="s">
        <v>7401</v>
      </c>
      <c r="G256" s="90" t="s">
        <v>6679</v>
      </c>
    </row>
    <row r="257" spans="1:7" x14ac:dyDescent="0.35">
      <c r="A257" t="s">
        <v>4210</v>
      </c>
      <c r="B257" s="444" t="str">
        <f t="shared" si="4"/>
        <v>Is this disclosure already publicly available?</v>
      </c>
      <c r="C257" t="s">
        <v>3072</v>
      </c>
      <c r="D257" s="90" t="s">
        <v>6025</v>
      </c>
      <c r="E257" s="90" t="s">
        <v>6315</v>
      </c>
      <c r="F257" s="90" t="s">
        <v>5870</v>
      </c>
      <c r="G257" s="90" t="s">
        <v>6680</v>
      </c>
    </row>
    <row r="258" spans="1:7" x14ac:dyDescent="0.35">
      <c r="A258" t="s">
        <v>4211</v>
      </c>
      <c r="B258" s="444" t="str">
        <f t="shared" si="4"/>
        <v>Please provide the relevant URL link or hyperlink of where this information is reported</v>
      </c>
      <c r="C258" t="s">
        <v>3976</v>
      </c>
      <c r="D258" s="90" t="s">
        <v>7039</v>
      </c>
      <c r="E258" s="90" t="s">
        <v>6316</v>
      </c>
      <c r="F258" s="90" t="s">
        <v>7402</v>
      </c>
      <c r="G258" s="90" t="s">
        <v>6681</v>
      </c>
    </row>
    <row r="259" spans="1:7" x14ac:dyDescent="0.35">
      <c r="A259" t="s">
        <v>4212</v>
      </c>
      <c r="B259" s="444" t="str">
        <f t="shared" si="4"/>
        <v>Please select the unit used for reporting the amount (i.e. either kg or tonne)</v>
      </c>
      <c r="C259" t="s">
        <v>3069</v>
      </c>
      <c r="D259" s="90" t="s">
        <v>7040</v>
      </c>
      <c r="E259" s="90" t="s">
        <v>6317</v>
      </c>
      <c r="F259" s="90" t="s">
        <v>7403</v>
      </c>
      <c r="G259" s="90" t="s">
        <v>6682</v>
      </c>
    </row>
    <row r="260" spans="1:7" x14ac:dyDescent="0.35">
      <c r="A260" t="s">
        <v>4213</v>
      </c>
      <c r="B260" s="444" t="str">
        <f t="shared" ref="B260:B323" si="5">INDEX(C260:G260,MATCH(template_selected_display_language,$C$3:$G$3,0))</f>
        <v>Row ID</v>
      </c>
      <c r="C260" t="s">
        <v>15</v>
      </c>
      <c r="D260" s="90" t="s">
        <v>6026</v>
      </c>
      <c r="E260" s="90" t="s">
        <v>5959</v>
      </c>
      <c r="F260" s="90" t="s">
        <v>5871</v>
      </c>
      <c r="G260" s="90" t="s">
        <v>5780</v>
      </c>
    </row>
    <row r="261" spans="1:7" x14ac:dyDescent="0.35">
      <c r="A261" t="s">
        <v>4214</v>
      </c>
      <c r="B261" s="444" t="str">
        <f t="shared" si="5"/>
        <v>Pollutant</v>
      </c>
      <c r="C261" t="s">
        <v>3977</v>
      </c>
      <c r="D261" s="90" t="s">
        <v>6066</v>
      </c>
      <c r="E261" s="90" t="s">
        <v>6318</v>
      </c>
      <c r="F261" s="90" t="s">
        <v>5872</v>
      </c>
      <c r="G261" s="90" t="s">
        <v>5781</v>
      </c>
    </row>
    <row r="262" spans="1:7" x14ac:dyDescent="0.35">
      <c r="A262" t="s">
        <v>4215</v>
      </c>
      <c r="B262" s="444" t="str">
        <f t="shared" si="5"/>
        <v>Emission to air</v>
      </c>
      <c r="C262" t="s">
        <v>3978</v>
      </c>
      <c r="D262" s="90" t="s">
        <v>7041</v>
      </c>
      <c r="E262" s="90" t="s">
        <v>6080</v>
      </c>
      <c r="F262" s="90" t="s">
        <v>7404</v>
      </c>
      <c r="G262" s="90" t="s">
        <v>6520</v>
      </c>
    </row>
    <row r="263" spans="1:7" x14ac:dyDescent="0.35">
      <c r="A263" t="s">
        <v>4216</v>
      </c>
      <c r="B263" s="444" t="str">
        <f t="shared" si="5"/>
        <v>Emission to water</v>
      </c>
      <c r="C263" t="s">
        <v>3979</v>
      </c>
      <c r="D263" s="90" t="s">
        <v>7042</v>
      </c>
      <c r="E263" s="90" t="s">
        <v>5960</v>
      </c>
      <c r="F263" s="90" t="s">
        <v>5873</v>
      </c>
      <c r="G263" s="90" t="s">
        <v>6521</v>
      </c>
    </row>
    <row r="264" spans="1:7" s="12" customFormat="1" ht="15" thickBot="1" x14ac:dyDescent="0.4">
      <c r="A264" s="12" t="s">
        <v>4217</v>
      </c>
      <c r="B264" s="478" t="str">
        <f t="shared" si="5"/>
        <v>Emission to soil</v>
      </c>
      <c r="C264" s="12" t="s">
        <v>3980</v>
      </c>
      <c r="D264" s="445" t="s">
        <v>7043</v>
      </c>
      <c r="E264" s="445" t="s">
        <v>5961</v>
      </c>
      <c r="F264" s="445" t="s">
        <v>5874</v>
      </c>
      <c r="G264" s="445" t="s">
        <v>6522</v>
      </c>
    </row>
    <row r="265" spans="1:7" x14ac:dyDescent="0.35">
      <c r="A265" t="s">
        <v>4218</v>
      </c>
      <c r="B265" s="444" t="str">
        <f t="shared" si="5"/>
        <v>B5 - Sites in biodiversity sensitive areas</v>
      </c>
      <c r="C265" t="s">
        <v>4016</v>
      </c>
      <c r="D265" s="90" t="s">
        <v>7044</v>
      </c>
      <c r="E265" s="90" t="s">
        <v>6319</v>
      </c>
      <c r="F265" s="90" t="s">
        <v>7405</v>
      </c>
      <c r="G265" s="90" t="s">
        <v>6683</v>
      </c>
    </row>
    <row r="266" spans="1:7" x14ac:dyDescent="0.35">
      <c r="A266" t="s">
        <v>4219</v>
      </c>
      <c r="B266" s="444" t="str">
        <f t="shared" si="5"/>
        <v>Does the undertaking have sites that are located in or near biodiversity sensitive areas?</v>
      </c>
      <c r="C266" t="s">
        <v>3088</v>
      </c>
      <c r="D266" s="90" t="s">
        <v>7045</v>
      </c>
      <c r="E266" s="90" t="s">
        <v>6320</v>
      </c>
      <c r="F266" s="90" t="s">
        <v>7406</v>
      </c>
      <c r="G266" s="90" t="s">
        <v>6684</v>
      </c>
    </row>
    <row r="267" spans="1:7" x14ac:dyDescent="0.35">
      <c r="A267" t="s">
        <v>4220</v>
      </c>
      <c r="B267" s="444" t="str">
        <f t="shared" si="5"/>
        <v>Please select the unit used for the area (i.e. either hectares or m²):</v>
      </c>
      <c r="C267" t="s">
        <v>3067</v>
      </c>
      <c r="D267" s="90" t="s">
        <v>7046</v>
      </c>
      <c r="E267" s="90" t="s">
        <v>6321</v>
      </c>
      <c r="F267" s="90" t="s">
        <v>7407</v>
      </c>
      <c r="G267" s="90" t="s">
        <v>6685</v>
      </c>
    </row>
    <row r="268" spans="1:7" x14ac:dyDescent="0.35">
      <c r="A268" t="s">
        <v>4221</v>
      </c>
      <c r="B268" s="444" t="str">
        <f t="shared" si="5"/>
        <v>Related Site ID (select an ID from a site location reported in B1)</v>
      </c>
      <c r="C268" t="s">
        <v>3545</v>
      </c>
      <c r="D268" s="90" t="s">
        <v>7047</v>
      </c>
      <c r="E268" s="90" t="s">
        <v>6322</v>
      </c>
      <c r="F268" s="90" t="s">
        <v>7408</v>
      </c>
      <c r="G268" s="90" t="s">
        <v>6686</v>
      </c>
    </row>
    <row r="269" spans="1:7" x14ac:dyDescent="0.35">
      <c r="A269" t="s">
        <v>4222</v>
      </c>
      <c r="B269" s="444" t="str">
        <f t="shared" si="5"/>
        <v>Site Location in near a biodiversity area - auto filled from B1</v>
      </c>
      <c r="C269" t="s">
        <v>4058</v>
      </c>
      <c r="D269" s="90" t="s">
        <v>7048</v>
      </c>
      <c r="E269" s="90" t="s">
        <v>6323</v>
      </c>
      <c r="F269" s="90" t="s">
        <v>7409</v>
      </c>
      <c r="G269" s="90" t="s">
        <v>6687</v>
      </c>
    </row>
    <row r="270" spans="1:7" x14ac:dyDescent="0.35">
      <c r="A270" t="s">
        <v>4223</v>
      </c>
      <c r="B270" s="444" t="str">
        <f t="shared" si="5"/>
        <v>Area (hectares or m² based on the selection above)</v>
      </c>
      <c r="C270" t="s">
        <v>3065</v>
      </c>
      <c r="D270" s="90" t="s">
        <v>7049</v>
      </c>
      <c r="E270" s="90" t="s">
        <v>6324</v>
      </c>
      <c r="F270" s="90" t="s">
        <v>5875</v>
      </c>
      <c r="G270" s="90" t="s">
        <v>6688</v>
      </c>
    </row>
    <row r="271" spans="1:7" x14ac:dyDescent="0.35">
      <c r="A271" t="s">
        <v>4224</v>
      </c>
      <c r="B271" s="444" t="str">
        <f t="shared" si="5"/>
        <v>Site located in a biodiversity sensitive area</v>
      </c>
      <c r="C271" t="s">
        <v>2915</v>
      </c>
      <c r="D271" s="90" t="s">
        <v>7050</v>
      </c>
      <c r="E271" s="90" t="s">
        <v>6325</v>
      </c>
      <c r="F271" s="90" t="s">
        <v>5876</v>
      </c>
      <c r="G271" s="90" t="s">
        <v>6689</v>
      </c>
    </row>
    <row r="272" spans="1:7" s="12" customFormat="1" ht="15" thickBot="1" x14ac:dyDescent="0.4">
      <c r="A272" s="12" t="s">
        <v>4225</v>
      </c>
      <c r="B272" s="478" t="str">
        <f t="shared" si="5"/>
        <v>Site located near a biodiversity sensitive area</v>
      </c>
      <c r="C272" s="12" t="s">
        <v>2916</v>
      </c>
      <c r="D272" s="445" t="s">
        <v>7051</v>
      </c>
      <c r="E272" s="445" t="s">
        <v>6326</v>
      </c>
      <c r="F272" s="445" t="s">
        <v>7410</v>
      </c>
      <c r="G272" s="445" t="s">
        <v>6690</v>
      </c>
    </row>
    <row r="273" spans="1:7" x14ac:dyDescent="0.35">
      <c r="A273" t="s">
        <v>4226</v>
      </c>
      <c r="B273" s="444" t="str">
        <f t="shared" si="5"/>
        <v>B5 - Biodiversity - Land-use</v>
      </c>
      <c r="C273" t="s">
        <v>4017</v>
      </c>
      <c r="D273" s="90" t="s">
        <v>6027</v>
      </c>
      <c r="E273" s="90" t="s">
        <v>6327</v>
      </c>
      <c r="F273" s="90" t="s">
        <v>7411</v>
      </c>
      <c r="G273" s="90" t="s">
        <v>6691</v>
      </c>
    </row>
    <row r="274" spans="1:7" x14ac:dyDescent="0.35">
      <c r="A274" t="s">
        <v>4227</v>
      </c>
      <c r="B274" s="444" t="str">
        <f t="shared" si="5"/>
        <v>Land-use type</v>
      </c>
      <c r="C274" t="s">
        <v>17</v>
      </c>
      <c r="D274" s="90" t="s">
        <v>6067</v>
      </c>
      <c r="E274" s="90" t="s">
        <v>6328</v>
      </c>
      <c r="F274" s="90" t="s">
        <v>5877</v>
      </c>
      <c r="G274" s="90" t="s">
        <v>6692</v>
      </c>
    </row>
    <row r="275" spans="1:7" x14ac:dyDescent="0.35">
      <c r="A275" t="s">
        <v>4228</v>
      </c>
      <c r="B275" s="444" t="str">
        <f t="shared" si="5"/>
        <v>Area</v>
      </c>
      <c r="C275" t="s">
        <v>3532</v>
      </c>
      <c r="D275" s="90" t="s">
        <v>7052</v>
      </c>
      <c r="E275" s="90" t="s">
        <v>6329</v>
      </c>
      <c r="F275" s="90" t="s">
        <v>5782</v>
      </c>
      <c r="G275" s="90" t="s">
        <v>5782</v>
      </c>
    </row>
    <row r="276" spans="1:7" x14ac:dyDescent="0.35">
      <c r="A276" t="s">
        <v>4229</v>
      </c>
      <c r="B276" s="444" t="str">
        <f t="shared" si="5"/>
        <v>Total sealed area</v>
      </c>
      <c r="C276" t="s">
        <v>18</v>
      </c>
      <c r="D276" s="90" t="s">
        <v>7053</v>
      </c>
      <c r="E276" s="90" t="s">
        <v>6330</v>
      </c>
      <c r="F276" s="90" t="s">
        <v>7412</v>
      </c>
      <c r="G276" s="90" t="s">
        <v>6693</v>
      </c>
    </row>
    <row r="277" spans="1:7" x14ac:dyDescent="0.35">
      <c r="A277" t="s">
        <v>4230</v>
      </c>
      <c r="B277" s="444" t="str">
        <f t="shared" si="5"/>
        <v>Total nature-oriented area on-site</v>
      </c>
      <c r="C277" t="s">
        <v>3981</v>
      </c>
      <c r="D277" s="90" t="s">
        <v>7054</v>
      </c>
      <c r="E277" s="90" t="s">
        <v>6331</v>
      </c>
      <c r="F277" s="90" t="s">
        <v>7413</v>
      </c>
      <c r="G277" s="90" t="s">
        <v>6694</v>
      </c>
    </row>
    <row r="278" spans="1:7" x14ac:dyDescent="0.35">
      <c r="A278" t="s">
        <v>4231</v>
      </c>
      <c r="B278" s="444" t="str">
        <f t="shared" si="5"/>
        <v>Total nature-oriented area off-site</v>
      </c>
      <c r="C278" t="s">
        <v>3982</v>
      </c>
      <c r="D278" s="90" t="s">
        <v>7055</v>
      </c>
      <c r="E278" s="90" t="s">
        <v>6332</v>
      </c>
      <c r="F278" s="90" t="s">
        <v>7414</v>
      </c>
      <c r="G278" s="90" t="s">
        <v>6695</v>
      </c>
    </row>
    <row r="279" spans="1:7" s="12" customFormat="1" ht="15" thickBot="1" x14ac:dyDescent="0.4">
      <c r="A279" s="12" t="s">
        <v>4232</v>
      </c>
      <c r="B279" s="478" t="str">
        <f t="shared" si="5"/>
        <v>Total use of land</v>
      </c>
      <c r="C279" s="12" t="s">
        <v>19</v>
      </c>
      <c r="D279" s="445" t="s">
        <v>6028</v>
      </c>
      <c r="E279" s="445" t="s">
        <v>6333</v>
      </c>
      <c r="F279" s="445" t="s">
        <v>7415</v>
      </c>
      <c r="G279" s="445" t="s">
        <v>5783</v>
      </c>
    </row>
    <row r="280" spans="1:7" x14ac:dyDescent="0.35">
      <c r="A280" t="s">
        <v>4233</v>
      </c>
      <c r="B280" s="444" t="str">
        <f t="shared" si="5"/>
        <v>B6 - Water Withdrawal</v>
      </c>
      <c r="C280" t="s">
        <v>4018</v>
      </c>
      <c r="D280" s="90" t="s">
        <v>7056</v>
      </c>
      <c r="E280" s="90" t="s">
        <v>6334</v>
      </c>
      <c r="F280" s="90" t="s">
        <v>7416</v>
      </c>
      <c r="G280" s="90" t="s">
        <v>5719</v>
      </c>
    </row>
    <row r="281" spans="1:7" x14ac:dyDescent="0.35">
      <c r="A281" t="s">
        <v>4234</v>
      </c>
      <c r="B281" s="444" t="str">
        <f t="shared" si="5"/>
        <v>Total amount of water withdrawn from all sites (cubic meters m³)</v>
      </c>
      <c r="C281" t="s">
        <v>4042</v>
      </c>
      <c r="D281" s="90" t="s">
        <v>7057</v>
      </c>
      <c r="E281" s="90" t="s">
        <v>6335</v>
      </c>
      <c r="F281" s="90" t="s">
        <v>7417</v>
      </c>
      <c r="G281" s="90" t="s">
        <v>6696</v>
      </c>
    </row>
    <row r="282" spans="1:7" s="12" customFormat="1" ht="15" thickBot="1" x14ac:dyDescent="0.4">
      <c r="A282" s="12" t="s">
        <v>4235</v>
      </c>
      <c r="B282" s="478" t="str">
        <f t="shared" si="5"/>
        <v>Amount of water withdrawn at sites located in areas of high water-stress (cubic meters m³)</v>
      </c>
      <c r="C282" s="12" t="s">
        <v>4043</v>
      </c>
      <c r="D282" s="445" t="s">
        <v>7058</v>
      </c>
      <c r="E282" s="445" t="s">
        <v>6336</v>
      </c>
      <c r="F282" s="445" t="s">
        <v>7418</v>
      </c>
      <c r="G282" s="445" t="s">
        <v>6697</v>
      </c>
    </row>
    <row r="283" spans="1:7" x14ac:dyDescent="0.35">
      <c r="A283" t="s">
        <v>4236</v>
      </c>
      <c r="B283" s="444" t="str">
        <f t="shared" si="5"/>
        <v>B6 - Water Consumption</v>
      </c>
      <c r="C283" t="s">
        <v>4019</v>
      </c>
      <c r="D283" s="90" t="s">
        <v>7059</v>
      </c>
      <c r="E283" s="90" t="s">
        <v>6081</v>
      </c>
      <c r="F283" s="90" t="s">
        <v>7419</v>
      </c>
      <c r="G283" s="90" t="s">
        <v>6698</v>
      </c>
    </row>
    <row r="284" spans="1:7" x14ac:dyDescent="0.35">
      <c r="A284" t="s">
        <v>4237</v>
      </c>
      <c r="B284" s="444" t="str">
        <f t="shared" si="5"/>
        <v>Does the undertaking have production processes in place which significantly consume water (e.g. thermal energy processes like drying or power production production of goods agricultural irrigation etc.)?</v>
      </c>
      <c r="C284" t="s">
        <v>4044</v>
      </c>
      <c r="D284" s="90" t="s">
        <v>7060</v>
      </c>
      <c r="E284" s="90" t="s">
        <v>6337</v>
      </c>
      <c r="F284" s="90" t="s">
        <v>7420</v>
      </c>
      <c r="G284" s="90" t="s">
        <v>6699</v>
      </c>
    </row>
    <row r="285" spans="1:7" x14ac:dyDescent="0.35">
      <c r="A285" t="s">
        <v>4238</v>
      </c>
      <c r="B285" s="444" t="str">
        <f t="shared" si="5"/>
        <v>Water discharge from undertaking production processes (m³)</v>
      </c>
      <c r="C285" t="s">
        <v>3533</v>
      </c>
      <c r="D285" s="90" t="s">
        <v>7061</v>
      </c>
      <c r="E285" s="90" t="s">
        <v>6338</v>
      </c>
      <c r="F285" s="90" t="s">
        <v>7421</v>
      </c>
      <c r="G285" s="90" t="s">
        <v>6700</v>
      </c>
    </row>
    <row r="286" spans="1:7" s="12" customFormat="1" ht="15" thickBot="1" x14ac:dyDescent="0.4">
      <c r="A286" s="12" t="s">
        <v>4239</v>
      </c>
      <c r="B286" s="478" t="str">
        <f t="shared" si="5"/>
        <v>Total water consumption (m³)</v>
      </c>
      <c r="C286" s="12" t="s">
        <v>3607</v>
      </c>
      <c r="D286" s="445" t="s">
        <v>6029</v>
      </c>
      <c r="E286" s="445" t="s">
        <v>6082</v>
      </c>
      <c r="F286" s="445" t="s">
        <v>5878</v>
      </c>
      <c r="G286" s="445" t="s">
        <v>6106</v>
      </c>
    </row>
    <row r="287" spans="1:7" x14ac:dyDescent="0.35">
      <c r="A287" t="s">
        <v>4240</v>
      </c>
      <c r="B287" s="444" t="str">
        <f t="shared" si="5"/>
        <v>B7 - Description of circular economy principles</v>
      </c>
      <c r="C287" t="s">
        <v>4020</v>
      </c>
      <c r="D287" s="90" t="s">
        <v>6030</v>
      </c>
      <c r="E287" s="90" t="s">
        <v>6339</v>
      </c>
      <c r="F287" s="90" t="s">
        <v>5879</v>
      </c>
      <c r="G287" s="90" t="s">
        <v>6701</v>
      </c>
    </row>
    <row r="288" spans="1:7" x14ac:dyDescent="0.35">
      <c r="A288" t="s">
        <v>4241</v>
      </c>
      <c r="B288" s="444" t="str">
        <f t="shared" si="5"/>
        <v>Undertaking applies circular economy principles</v>
      </c>
      <c r="C288" t="s">
        <v>3540</v>
      </c>
      <c r="D288" s="90" t="s">
        <v>6031</v>
      </c>
      <c r="E288" s="90" t="s">
        <v>6340</v>
      </c>
      <c r="F288" s="90" t="s">
        <v>7422</v>
      </c>
      <c r="G288" s="90" t="s">
        <v>6702</v>
      </c>
    </row>
    <row r="289" spans="1:7" s="12" customFormat="1" ht="15" thickBot="1" x14ac:dyDescent="0.4">
      <c r="A289" s="12" t="s">
        <v>4242</v>
      </c>
      <c r="B289" s="478" t="str">
        <f t="shared" si="5"/>
        <v>Description of how it applies these principles</v>
      </c>
      <c r="C289" s="12" t="s">
        <v>2918</v>
      </c>
      <c r="D289" s="445" t="s">
        <v>7062</v>
      </c>
      <c r="E289" s="445" t="s">
        <v>5962</v>
      </c>
      <c r="F289" s="445" t="s">
        <v>7423</v>
      </c>
      <c r="G289" s="445" t="s">
        <v>6703</v>
      </c>
    </row>
    <row r="290" spans="1:7" x14ac:dyDescent="0.35">
      <c r="A290" t="s">
        <v>4243</v>
      </c>
      <c r="B290" s="444" t="str">
        <f t="shared" si="5"/>
        <v>B7 - Waste generated</v>
      </c>
      <c r="C290" t="s">
        <v>4021</v>
      </c>
      <c r="D290" s="90" t="s">
        <v>7063</v>
      </c>
      <c r="E290" s="90" t="s">
        <v>5963</v>
      </c>
      <c r="F290" s="90" t="s">
        <v>5880</v>
      </c>
      <c r="G290" s="90" t="s">
        <v>6704</v>
      </c>
    </row>
    <row r="291" spans="1:7" x14ac:dyDescent="0.35">
      <c r="A291" t="s">
        <v>4244</v>
      </c>
      <c r="B291" s="444" t="str">
        <f t="shared" si="5"/>
        <v>Type of waste</v>
      </c>
      <c r="C291" t="s">
        <v>2760</v>
      </c>
      <c r="D291" s="90" t="s">
        <v>6032</v>
      </c>
      <c r="E291" s="90" t="s">
        <v>6341</v>
      </c>
      <c r="F291" s="90" t="s">
        <v>7424</v>
      </c>
      <c r="G291" s="90" t="s">
        <v>6705</v>
      </c>
    </row>
    <row r="292" spans="1:7" x14ac:dyDescent="0.35">
      <c r="A292" t="s">
        <v>4245</v>
      </c>
      <c r="B292" s="444" t="str">
        <f t="shared" si="5"/>
        <v>Unit of measurement</v>
      </c>
      <c r="C292" t="s">
        <v>2756</v>
      </c>
      <c r="D292" s="90" t="s">
        <v>6033</v>
      </c>
      <c r="E292" s="90" t="s">
        <v>5964</v>
      </c>
      <c r="F292" s="90" t="s">
        <v>5881</v>
      </c>
      <c r="G292" s="90" t="s">
        <v>5784</v>
      </c>
    </row>
    <row r="293" spans="1:7" x14ac:dyDescent="0.35">
      <c r="A293" t="s">
        <v>4246</v>
      </c>
      <c r="B293" s="444" t="str">
        <f t="shared" si="5"/>
        <v>Waste diverted to recycle or reuse</v>
      </c>
      <c r="C293" t="s">
        <v>3983</v>
      </c>
      <c r="D293" s="90" t="s">
        <v>6034</v>
      </c>
      <c r="E293" s="90" t="s">
        <v>5965</v>
      </c>
      <c r="F293" s="90" t="s">
        <v>6100</v>
      </c>
      <c r="G293" s="90" t="s">
        <v>5785</v>
      </c>
    </row>
    <row r="294" spans="1:7" x14ac:dyDescent="0.35">
      <c r="A294" t="s">
        <v>4247</v>
      </c>
      <c r="B294" s="444" t="str">
        <f t="shared" si="5"/>
        <v>Waste directed to disposal</v>
      </c>
      <c r="C294" t="s">
        <v>3071</v>
      </c>
      <c r="D294" s="90" t="s">
        <v>7064</v>
      </c>
      <c r="E294" s="90" t="s">
        <v>6342</v>
      </c>
      <c r="F294" s="90" t="s">
        <v>7425</v>
      </c>
      <c r="G294" s="90" t="s">
        <v>6706</v>
      </c>
    </row>
    <row r="295" spans="1:7" x14ac:dyDescent="0.35">
      <c r="A295" t="s">
        <v>4248</v>
      </c>
      <c r="B295" s="444" t="str">
        <f t="shared" si="5"/>
        <v>Amount of waste recycled reused and directed to disposal</v>
      </c>
      <c r="C295" t="s">
        <v>4376</v>
      </c>
      <c r="D295" s="90" t="s">
        <v>7065</v>
      </c>
      <c r="E295" s="90" t="s">
        <v>6343</v>
      </c>
      <c r="F295" s="90" t="s">
        <v>7426</v>
      </c>
      <c r="G295" s="90" t="s">
        <v>6707</v>
      </c>
    </row>
    <row r="296" spans="1:7" x14ac:dyDescent="0.35">
      <c r="A296" t="s">
        <v>4249</v>
      </c>
      <c r="B296" s="444" t="str">
        <f t="shared" si="5"/>
        <v>Total Hazardous waste generated (mass)</v>
      </c>
      <c r="C296" t="s">
        <v>3609</v>
      </c>
      <c r="D296" s="90" t="s">
        <v>7066</v>
      </c>
      <c r="E296" s="90" t="s">
        <v>6344</v>
      </c>
      <c r="F296" s="90" t="s">
        <v>7427</v>
      </c>
      <c r="G296" s="90" t="s">
        <v>6708</v>
      </c>
    </row>
    <row r="297" spans="1:7" x14ac:dyDescent="0.35">
      <c r="A297" t="s">
        <v>4250</v>
      </c>
      <c r="B297" s="444" t="str">
        <f t="shared" si="5"/>
        <v>Total amount of waste generated</v>
      </c>
      <c r="C297" t="s">
        <v>3608</v>
      </c>
      <c r="D297" s="90" t="s">
        <v>6068</v>
      </c>
      <c r="E297" s="90" t="s">
        <v>6345</v>
      </c>
      <c r="F297" s="90" t="s">
        <v>5882</v>
      </c>
      <c r="G297" s="90" t="s">
        <v>5786</v>
      </c>
    </row>
    <row r="298" spans="1:7" x14ac:dyDescent="0.35">
      <c r="A298" t="s">
        <v>4251</v>
      </c>
      <c r="B298" s="444" t="str">
        <f t="shared" si="5"/>
        <v>Total Non-Hazardous waste generated (mass)</v>
      </c>
      <c r="C298" t="s">
        <v>3610</v>
      </c>
      <c r="D298" s="90" t="s">
        <v>7067</v>
      </c>
      <c r="E298" s="90" t="s">
        <v>6346</v>
      </c>
      <c r="F298" s="90" t="s">
        <v>7428</v>
      </c>
      <c r="G298" s="90" t="s">
        <v>6709</v>
      </c>
    </row>
    <row r="299" spans="1:7" x14ac:dyDescent="0.35">
      <c r="A299" t="s">
        <v>4252</v>
      </c>
      <c r="B299" s="444" t="str">
        <f t="shared" si="5"/>
        <v>Total waste generated (mass)</v>
      </c>
      <c r="C299" t="s">
        <v>3611</v>
      </c>
      <c r="D299" s="90" t="s">
        <v>7068</v>
      </c>
      <c r="E299" s="90" t="s">
        <v>6347</v>
      </c>
      <c r="F299" s="90" t="s">
        <v>7429</v>
      </c>
      <c r="G299" s="90" t="s">
        <v>5787</v>
      </c>
    </row>
    <row r="300" spans="1:7" x14ac:dyDescent="0.35">
      <c r="A300" t="s">
        <v>4253</v>
      </c>
      <c r="B300" s="444" t="str">
        <f t="shared" si="5"/>
        <v>Total Hazardous waste generated (volume)</v>
      </c>
      <c r="C300" t="s">
        <v>3612</v>
      </c>
      <c r="D300" s="90" t="s">
        <v>7069</v>
      </c>
      <c r="E300" s="90" t="s">
        <v>6348</v>
      </c>
      <c r="F300" s="90" t="s">
        <v>7430</v>
      </c>
      <c r="G300" s="90" t="s">
        <v>6710</v>
      </c>
    </row>
    <row r="301" spans="1:7" x14ac:dyDescent="0.35">
      <c r="A301" t="s">
        <v>4254</v>
      </c>
      <c r="B301" s="444" t="str">
        <f t="shared" si="5"/>
        <v>cubic meters (m³)</v>
      </c>
      <c r="C301" t="s">
        <v>2762</v>
      </c>
      <c r="D301" s="90" t="s">
        <v>6035</v>
      </c>
      <c r="E301" s="90" t="s">
        <v>6349</v>
      </c>
      <c r="F301" s="90" t="s">
        <v>5788</v>
      </c>
      <c r="G301" s="90" t="s">
        <v>5788</v>
      </c>
    </row>
    <row r="302" spans="1:7" x14ac:dyDescent="0.35">
      <c r="A302" t="s">
        <v>4255</v>
      </c>
      <c r="B302" s="444" t="str">
        <f t="shared" si="5"/>
        <v>Total Non-Hazardous waste generated (volume)</v>
      </c>
      <c r="C302" t="s">
        <v>3613</v>
      </c>
      <c r="D302" s="90" t="s">
        <v>7070</v>
      </c>
      <c r="E302" s="90" t="s">
        <v>6350</v>
      </c>
      <c r="F302" s="90" t="s">
        <v>7431</v>
      </c>
      <c r="G302" s="90" t="s">
        <v>6711</v>
      </c>
    </row>
    <row r="303" spans="1:7" s="12" customFormat="1" ht="15" thickBot="1" x14ac:dyDescent="0.4">
      <c r="A303" s="12" t="s">
        <v>4256</v>
      </c>
      <c r="B303" s="478" t="str">
        <f t="shared" si="5"/>
        <v>Total waste generated (volume)</v>
      </c>
      <c r="C303" s="12" t="s">
        <v>3614</v>
      </c>
      <c r="D303" s="445" t="s">
        <v>6072</v>
      </c>
      <c r="E303" s="445" t="s">
        <v>6351</v>
      </c>
      <c r="F303" s="445" t="s">
        <v>7432</v>
      </c>
      <c r="G303" s="445" t="s">
        <v>6712</v>
      </c>
    </row>
    <row r="304" spans="1:7" x14ac:dyDescent="0.35">
      <c r="A304" t="s">
        <v>4257</v>
      </c>
      <c r="B304" s="444" t="str">
        <f t="shared" si="5"/>
        <v>B7 – Annual mass-flow of relevant materials used</v>
      </c>
      <c r="C304" t="s">
        <v>4022</v>
      </c>
      <c r="D304" s="90" t="s">
        <v>7071</v>
      </c>
      <c r="E304" s="90" t="s">
        <v>6352</v>
      </c>
      <c r="F304" s="90" t="s">
        <v>7433</v>
      </c>
      <c r="G304" s="90" t="s">
        <v>6713</v>
      </c>
    </row>
    <row r="305" spans="1:7" ht="13.75" customHeight="1" x14ac:dyDescent="0.35">
      <c r="A305" t="s">
        <v>7231</v>
      </c>
      <c r="B305" s="444" t="str">
        <f t="shared" si="5"/>
        <v>Does the undertaking the undertaking operate in a sector using significant material flows (for example manufacturing construction packaging or others)?</v>
      </c>
      <c r="C305" t="s">
        <v>4377</v>
      </c>
      <c r="D305" s="90" t="s">
        <v>7072</v>
      </c>
      <c r="E305" s="90" t="s">
        <v>6353</v>
      </c>
      <c r="F305" s="90" t="s">
        <v>7434</v>
      </c>
      <c r="G305" s="90" t="s">
        <v>6714</v>
      </c>
    </row>
    <row r="306" spans="1:7" x14ac:dyDescent="0.35">
      <c r="A306" t="s">
        <v>4258</v>
      </c>
      <c r="B306" s="444" t="str">
        <f t="shared" si="5"/>
        <v>Name of the key material</v>
      </c>
      <c r="C306" t="s">
        <v>2759</v>
      </c>
      <c r="D306" s="90" t="s">
        <v>7073</v>
      </c>
      <c r="E306" s="90" t="s">
        <v>5966</v>
      </c>
      <c r="F306" s="90" t="s">
        <v>7435</v>
      </c>
      <c r="G306" s="90" t="s">
        <v>5789</v>
      </c>
    </row>
    <row r="307" spans="1:7" x14ac:dyDescent="0.35">
      <c r="A307" t="s">
        <v>4259</v>
      </c>
      <c r="B307" s="444" t="str">
        <f t="shared" si="5"/>
        <v>Mass Volume</v>
      </c>
      <c r="C307" t="s">
        <v>3998</v>
      </c>
      <c r="D307" s="90" t="s">
        <v>7074</v>
      </c>
      <c r="E307" s="90" t="s">
        <v>5967</v>
      </c>
      <c r="F307" s="90" t="s">
        <v>7436</v>
      </c>
      <c r="G307" s="90" t="s">
        <v>5790</v>
      </c>
    </row>
    <row r="308" spans="1:7" x14ac:dyDescent="0.35">
      <c r="A308" t="s">
        <v>4260</v>
      </c>
      <c r="B308" s="444" t="str">
        <f t="shared" si="5"/>
        <v>Total annual mass-flow of relevant materials used (mass in kg)</v>
      </c>
      <c r="C308" t="s">
        <v>2763</v>
      </c>
      <c r="D308" s="90" t="s">
        <v>7075</v>
      </c>
      <c r="E308" s="90" t="s">
        <v>6354</v>
      </c>
      <c r="F308" s="90" t="s">
        <v>7437</v>
      </c>
      <c r="G308" s="90" t="s">
        <v>6715</v>
      </c>
    </row>
    <row r="309" spans="1:7" x14ac:dyDescent="0.35">
      <c r="A309" t="s">
        <v>4261</v>
      </c>
      <c r="B309" s="444" t="str">
        <f t="shared" si="5"/>
        <v>kilograms (kg)</v>
      </c>
      <c r="C309" t="s">
        <v>2757</v>
      </c>
      <c r="D309" s="90" t="s">
        <v>6036</v>
      </c>
      <c r="E309" s="90" t="s">
        <v>5826</v>
      </c>
      <c r="F309" s="90" t="s">
        <v>5883</v>
      </c>
      <c r="G309" s="90" t="s">
        <v>5791</v>
      </c>
    </row>
    <row r="310" spans="1:7" s="12" customFormat="1" ht="15" thickBot="1" x14ac:dyDescent="0.4">
      <c r="A310" s="12" t="s">
        <v>4262</v>
      </c>
      <c r="B310" s="478" t="str">
        <f t="shared" si="5"/>
        <v>Total annual mass-flow of relevant materials used (volume in m³)</v>
      </c>
      <c r="C310" s="12" t="s">
        <v>3984</v>
      </c>
      <c r="D310" s="445" t="s">
        <v>7076</v>
      </c>
      <c r="E310" s="445" t="s">
        <v>6355</v>
      </c>
      <c r="F310" s="445" t="s">
        <v>7438</v>
      </c>
      <c r="G310" s="445" t="s">
        <v>6716</v>
      </c>
    </row>
    <row r="311" spans="1:7" x14ac:dyDescent="0.35">
      <c r="A311" t="s">
        <v>4263</v>
      </c>
      <c r="B311" s="444" t="str">
        <f t="shared" si="5"/>
        <v>C4 – Climate risks</v>
      </c>
      <c r="C311" t="s">
        <v>20</v>
      </c>
      <c r="D311" s="90" t="s">
        <v>7077</v>
      </c>
      <c r="E311" s="90" t="s">
        <v>6356</v>
      </c>
      <c r="F311" s="90" t="s">
        <v>7289</v>
      </c>
      <c r="G311" s="90" t="s">
        <v>5792</v>
      </c>
    </row>
    <row r="312" spans="1:7" x14ac:dyDescent="0.35">
      <c r="A312" t="s">
        <v>4264</v>
      </c>
      <c r="B312" s="444" t="str">
        <f t="shared" si="5"/>
        <v>Has the undertaking identified climate-related hazards and climate-related transition events creating gross climate-related risks for the undertaking?</v>
      </c>
      <c r="C312" t="s">
        <v>4045</v>
      </c>
      <c r="D312" s="90" t="s">
        <v>7078</v>
      </c>
      <c r="E312" s="90" t="s">
        <v>6357</v>
      </c>
      <c r="F312" s="90" t="s">
        <v>7439</v>
      </c>
      <c r="G312" s="90" t="s">
        <v>6717</v>
      </c>
    </row>
    <row r="313" spans="1:7" x14ac:dyDescent="0.35">
      <c r="A313" t="s">
        <v>4265</v>
      </c>
      <c r="B313" s="444" t="str">
        <f t="shared" si="5"/>
        <v>Description of climate-related hazards and climate-related transition events</v>
      </c>
      <c r="C313" t="s">
        <v>3551</v>
      </c>
      <c r="D313" s="90" t="s">
        <v>7079</v>
      </c>
      <c r="E313" s="90" t="s">
        <v>6358</v>
      </c>
      <c r="F313" s="90" t="s">
        <v>7440</v>
      </c>
      <c r="G313" s="90" t="s">
        <v>6718</v>
      </c>
    </row>
    <row r="314" spans="1:7" x14ac:dyDescent="0.35">
      <c r="A314" t="s">
        <v>4266</v>
      </c>
      <c r="B314" s="444" t="str">
        <f t="shared" si="5"/>
        <v>Disclosure of how it has assessed the exposure and sensitivity of its assets activities and value chain to these hazards and transition events</v>
      </c>
      <c r="C314" t="s">
        <v>4046</v>
      </c>
      <c r="D314" s="90" t="s">
        <v>7080</v>
      </c>
      <c r="E314" s="90" t="s">
        <v>6359</v>
      </c>
      <c r="F314" s="90" t="s">
        <v>7441</v>
      </c>
      <c r="G314" s="90" t="s">
        <v>6719</v>
      </c>
    </row>
    <row r="315" spans="1:7" x14ac:dyDescent="0.35">
      <c r="A315" t="s">
        <v>4267</v>
      </c>
      <c r="B315" s="444" t="str">
        <f t="shared" si="5"/>
        <v>Time horizons of any climate-related hazards and transition events identified</v>
      </c>
      <c r="C315" t="s">
        <v>21</v>
      </c>
      <c r="D315" s="90" t="s">
        <v>7081</v>
      </c>
      <c r="E315" s="90" t="s">
        <v>6360</v>
      </c>
      <c r="F315" s="90" t="s">
        <v>7442</v>
      </c>
      <c r="G315" s="90" t="s">
        <v>5793</v>
      </c>
    </row>
    <row r="316" spans="1:7" x14ac:dyDescent="0.35">
      <c r="A316" t="s">
        <v>4268</v>
      </c>
      <c r="B316" s="444" t="str">
        <f t="shared" si="5"/>
        <v>Disclosure of whether it has undertaken climate change adaptation actions for any climate-related hazards and transition events</v>
      </c>
      <c r="C316" t="s">
        <v>3615</v>
      </c>
      <c r="D316" s="90" t="s">
        <v>7082</v>
      </c>
      <c r="E316" s="90" t="s">
        <v>6361</v>
      </c>
      <c r="F316" s="90" t="s">
        <v>7443</v>
      </c>
      <c r="G316" s="90" t="s">
        <v>6720</v>
      </c>
    </row>
    <row r="317" spans="1:7" x14ac:dyDescent="0.35">
      <c r="A317" t="s">
        <v>4269</v>
      </c>
      <c r="B317" s="444" t="str">
        <f t="shared" si="5"/>
        <v>Potential adverse effects of climate risks that may affect its financial performance or business operations in the short- medium- or long-term indicating whether it assesses the risks to be high medium or low</v>
      </c>
      <c r="C317" t="s">
        <v>4047</v>
      </c>
      <c r="D317" s="90" t="s">
        <v>7083</v>
      </c>
      <c r="E317" s="90" t="s">
        <v>6362</v>
      </c>
      <c r="F317" s="90" t="s">
        <v>7444</v>
      </c>
      <c r="G317" s="90" t="s">
        <v>6721</v>
      </c>
    </row>
    <row r="318" spans="1:7" s="12" customFormat="1" ht="15" thickBot="1" x14ac:dyDescent="0.4">
      <c r="A318" s="12" t="s">
        <v>4270</v>
      </c>
      <c r="B318" s="478" t="str">
        <f t="shared" si="5"/>
        <v>Disclosure of any other environmental and or entity specific environmental disclosures</v>
      </c>
      <c r="C318" s="12" t="s">
        <v>3999</v>
      </c>
      <c r="D318" s="445" t="s">
        <v>7084</v>
      </c>
      <c r="E318" s="445" t="s">
        <v>6363</v>
      </c>
      <c r="F318" s="445" t="s">
        <v>7445</v>
      </c>
      <c r="G318" s="445" t="s">
        <v>6533</v>
      </c>
    </row>
    <row r="319" spans="1:7" x14ac:dyDescent="0.35">
      <c r="A319" t="s">
        <v>4271</v>
      </c>
      <c r="B319" s="444" t="str">
        <f t="shared" si="5"/>
        <v>Employee counting methodology for the disclosures below (Headcount or Full time Equivalent linked from B1</v>
      </c>
      <c r="C319" t="s">
        <v>4048</v>
      </c>
      <c r="D319" s="90" t="s">
        <v>7085</v>
      </c>
      <c r="E319" s="90" t="s">
        <v>6364</v>
      </c>
      <c r="F319" s="90" t="s">
        <v>7446</v>
      </c>
      <c r="G319" s="90" t="s">
        <v>6722</v>
      </c>
    </row>
    <row r="320" spans="1:7" s="12" customFormat="1" ht="15" thickBot="1" x14ac:dyDescent="0.4">
      <c r="A320" s="12" t="s">
        <v>4272</v>
      </c>
      <c r="B320" s="478" t="str">
        <f t="shared" si="5"/>
        <v>Employee counting methodology for the disclosures below (At the end of the reporting period or as an average across the reporting period linked from B1)</v>
      </c>
      <c r="C320" s="12" t="s">
        <v>4062</v>
      </c>
      <c r="D320" s="445" t="s">
        <v>7086</v>
      </c>
      <c r="E320" s="445" t="s">
        <v>6365</v>
      </c>
      <c r="F320" s="445" t="s">
        <v>7447</v>
      </c>
      <c r="G320" s="445" t="s">
        <v>6723</v>
      </c>
    </row>
    <row r="321" spans="1:7" x14ac:dyDescent="0.35">
      <c r="A321" t="s">
        <v>4273</v>
      </c>
      <c r="B321" s="444" t="str">
        <f t="shared" si="5"/>
        <v>B8 – Workforce – General characteristics - Type of contract</v>
      </c>
      <c r="C321" t="s">
        <v>4023</v>
      </c>
      <c r="D321" s="90" t="s">
        <v>7087</v>
      </c>
      <c r="E321" s="90" t="s">
        <v>6366</v>
      </c>
      <c r="F321" s="90" t="s">
        <v>7448</v>
      </c>
      <c r="G321" s="90" t="s">
        <v>6538</v>
      </c>
    </row>
    <row r="322" spans="1:7" x14ac:dyDescent="0.35">
      <c r="A322" t="s">
        <v>4274</v>
      </c>
      <c r="B322" s="444" t="str">
        <f t="shared" si="5"/>
        <v>Type of contract</v>
      </c>
      <c r="C322" t="s">
        <v>22</v>
      </c>
      <c r="D322" s="90" t="s">
        <v>6902</v>
      </c>
      <c r="E322" s="90" t="s">
        <v>5922</v>
      </c>
      <c r="F322" s="90" t="s">
        <v>5723</v>
      </c>
      <c r="G322" s="90" t="s">
        <v>5723</v>
      </c>
    </row>
    <row r="323" spans="1:7" x14ac:dyDescent="0.35">
      <c r="A323" t="s">
        <v>4275</v>
      </c>
      <c r="B323" s="444" t="str">
        <f t="shared" si="5"/>
        <v>Permanent contract</v>
      </c>
      <c r="C323" t="s">
        <v>24</v>
      </c>
      <c r="D323" s="90" t="s">
        <v>6037</v>
      </c>
      <c r="E323" s="90" t="s">
        <v>5968</v>
      </c>
      <c r="F323" s="90" t="s">
        <v>7449</v>
      </c>
      <c r="G323" s="90" t="s">
        <v>5794</v>
      </c>
    </row>
    <row r="324" spans="1:7" x14ac:dyDescent="0.35">
      <c r="A324" t="s">
        <v>4276</v>
      </c>
      <c r="B324" s="444" t="str">
        <f t="shared" ref="B324:B387" si="6">INDEX(C324:G324,MATCH(template_selected_display_language,$C$3:$G$3,0))</f>
        <v>Temporary contract</v>
      </c>
      <c r="C324" t="s">
        <v>23</v>
      </c>
      <c r="D324" s="90" t="s">
        <v>7088</v>
      </c>
      <c r="E324" s="90" t="s">
        <v>6083</v>
      </c>
      <c r="F324" s="90" t="s">
        <v>7450</v>
      </c>
      <c r="G324" s="90" t="s">
        <v>5795</v>
      </c>
    </row>
    <row r="325" spans="1:7" s="12" customFormat="1" ht="15" thickBot="1" x14ac:dyDescent="0.4">
      <c r="A325" s="12" t="s">
        <v>4277</v>
      </c>
      <c r="B325" s="478" t="str">
        <f t="shared" si="6"/>
        <v>Total employees (linked to B1)</v>
      </c>
      <c r="C325" s="12" t="s">
        <v>4502</v>
      </c>
      <c r="D325" s="445" t="s">
        <v>7089</v>
      </c>
      <c r="E325" s="445" t="s">
        <v>6367</v>
      </c>
      <c r="F325" s="445" t="s">
        <v>7451</v>
      </c>
      <c r="G325" s="445" t="s">
        <v>6724</v>
      </c>
    </row>
    <row r="326" spans="1:7" x14ac:dyDescent="0.35">
      <c r="A326" t="s">
        <v>4278</v>
      </c>
      <c r="B326" s="444" t="str">
        <f t="shared" si="6"/>
        <v>B8 – Workforce – General characteristics - Gender</v>
      </c>
      <c r="C326" t="s">
        <v>4024</v>
      </c>
      <c r="D326" s="90" t="s">
        <v>7090</v>
      </c>
      <c r="E326" s="90" t="s">
        <v>6368</v>
      </c>
      <c r="F326" s="90" t="s">
        <v>7452</v>
      </c>
      <c r="G326" s="90" t="s">
        <v>6725</v>
      </c>
    </row>
    <row r="327" spans="1:7" x14ac:dyDescent="0.35">
      <c r="A327" t="s">
        <v>4279</v>
      </c>
      <c r="B327" s="444" t="str">
        <f t="shared" si="6"/>
        <v>Gender</v>
      </c>
      <c r="C327" t="s">
        <v>25</v>
      </c>
      <c r="D327" s="90" t="s">
        <v>6004</v>
      </c>
      <c r="E327" s="90" t="s">
        <v>5923</v>
      </c>
      <c r="F327" s="90" t="s">
        <v>5724</v>
      </c>
      <c r="G327" s="90" t="s">
        <v>5724</v>
      </c>
    </row>
    <row r="328" spans="1:7" x14ac:dyDescent="0.35">
      <c r="A328" t="s">
        <v>4280</v>
      </c>
      <c r="B328" s="444" t="str">
        <f t="shared" si="6"/>
        <v>Male</v>
      </c>
      <c r="C328" t="s">
        <v>26</v>
      </c>
      <c r="D328" s="90" t="s">
        <v>7091</v>
      </c>
      <c r="E328" s="90" t="s">
        <v>5969</v>
      </c>
      <c r="F328" s="90" t="s">
        <v>5796</v>
      </c>
      <c r="G328" s="90" t="s">
        <v>5796</v>
      </c>
    </row>
    <row r="329" spans="1:7" x14ac:dyDescent="0.35">
      <c r="A329" t="s">
        <v>4281</v>
      </c>
      <c r="B329" s="444" t="str">
        <f t="shared" si="6"/>
        <v>Female</v>
      </c>
      <c r="C329" t="s">
        <v>27</v>
      </c>
      <c r="D329" s="90" t="s">
        <v>7092</v>
      </c>
      <c r="E329" s="90" t="s">
        <v>5970</v>
      </c>
      <c r="F329" s="90" t="s">
        <v>7453</v>
      </c>
      <c r="G329" s="90" t="s">
        <v>6726</v>
      </c>
    </row>
    <row r="330" spans="1:7" x14ac:dyDescent="0.35">
      <c r="A330" t="s">
        <v>4282</v>
      </c>
      <c r="B330" s="444" t="str">
        <f t="shared" si="6"/>
        <v>Other</v>
      </c>
      <c r="C330" t="s">
        <v>28</v>
      </c>
      <c r="D330" s="90" t="s">
        <v>7093</v>
      </c>
      <c r="E330" s="90" t="s">
        <v>6369</v>
      </c>
      <c r="F330" s="90" t="s">
        <v>5884</v>
      </c>
      <c r="G330" s="90" t="s">
        <v>5797</v>
      </c>
    </row>
    <row r="331" spans="1:7" s="12" customFormat="1" ht="15" thickBot="1" x14ac:dyDescent="0.4">
      <c r="A331" s="12" t="s">
        <v>4283</v>
      </c>
      <c r="B331" s="478" t="str">
        <f t="shared" si="6"/>
        <v>Not reported</v>
      </c>
      <c r="C331" s="12" t="s">
        <v>29</v>
      </c>
      <c r="D331" s="445" t="s">
        <v>7094</v>
      </c>
      <c r="E331" s="445" t="s">
        <v>5971</v>
      </c>
      <c r="F331" s="445" t="s">
        <v>7454</v>
      </c>
      <c r="G331" s="445" t="s">
        <v>6523</v>
      </c>
    </row>
    <row r="332" spans="1:7" x14ac:dyDescent="0.35">
      <c r="A332" t="s">
        <v>4284</v>
      </c>
      <c r="B332" s="444" t="str">
        <f t="shared" si="6"/>
        <v>B8 – Workforce – General characteristics - Country of employment</v>
      </c>
      <c r="C332" t="s">
        <v>4025</v>
      </c>
      <c r="D332" s="90" t="s">
        <v>7095</v>
      </c>
      <c r="E332" s="90" t="s">
        <v>6370</v>
      </c>
      <c r="F332" s="90" t="s">
        <v>7455</v>
      </c>
      <c r="G332" s="90" t="s">
        <v>6727</v>
      </c>
    </row>
    <row r="333" spans="1:7" x14ac:dyDescent="0.35">
      <c r="A333" t="s">
        <v>4285</v>
      </c>
      <c r="B333" s="444" t="str">
        <f t="shared" si="6"/>
        <v>Country of employment contract</v>
      </c>
      <c r="C333" t="s">
        <v>30</v>
      </c>
      <c r="D333" s="90" t="s">
        <v>7096</v>
      </c>
      <c r="E333" s="90" t="s">
        <v>6371</v>
      </c>
      <c r="F333" s="90" t="s">
        <v>5885</v>
      </c>
      <c r="G333" s="90" t="s">
        <v>6728</v>
      </c>
    </row>
    <row r="334" spans="1:7" s="12" customFormat="1" ht="15" thickBot="1" x14ac:dyDescent="0.4">
      <c r="A334" s="12" t="s">
        <v>5688</v>
      </c>
      <c r="B334" s="478" t="str">
        <f t="shared" si="6"/>
        <v>Does the undertaking operate in more than one country?</v>
      </c>
      <c r="C334" s="12" t="s">
        <v>5687</v>
      </c>
      <c r="D334" s="445" t="s">
        <v>6038</v>
      </c>
      <c r="E334" s="445" t="s">
        <v>6372</v>
      </c>
      <c r="F334" s="445" t="s">
        <v>5886</v>
      </c>
      <c r="G334" s="445" t="s">
        <v>5798</v>
      </c>
    </row>
    <row r="335" spans="1:7" x14ac:dyDescent="0.35">
      <c r="A335" t="s">
        <v>4286</v>
      </c>
      <c r="B335" s="444" t="str">
        <f t="shared" si="6"/>
        <v>B8 – Workforce – General characteristics - Turnover rate</v>
      </c>
      <c r="C335" t="s">
        <v>4026</v>
      </c>
      <c r="D335" s="90" t="s">
        <v>7097</v>
      </c>
      <c r="E335" s="90" t="s">
        <v>6373</v>
      </c>
      <c r="F335" s="90" t="s">
        <v>7456</v>
      </c>
      <c r="G335" s="90" t="s">
        <v>6729</v>
      </c>
    </row>
    <row r="336" spans="1:7" x14ac:dyDescent="0.35">
      <c r="A336" t="s">
        <v>4287</v>
      </c>
      <c r="B336" s="444" t="str">
        <f t="shared" si="6"/>
        <v>Number of employees who left during the reporting period</v>
      </c>
      <c r="C336" t="s">
        <v>3103</v>
      </c>
      <c r="D336" s="90" t="s">
        <v>7098</v>
      </c>
      <c r="E336" s="90" t="s">
        <v>6374</v>
      </c>
      <c r="F336" s="90" t="s">
        <v>7457</v>
      </c>
      <c r="G336" s="90" t="s">
        <v>6730</v>
      </c>
    </row>
    <row r="337" spans="1:7" x14ac:dyDescent="0.35">
      <c r="A337" t="s">
        <v>4288</v>
      </c>
      <c r="B337" s="444" t="str">
        <f t="shared" si="6"/>
        <v>Number of employees at the beginning of the reporting period</v>
      </c>
      <c r="C337" t="s">
        <v>3104</v>
      </c>
      <c r="D337" s="90" t="s">
        <v>6039</v>
      </c>
      <c r="E337" s="90" t="s">
        <v>6375</v>
      </c>
      <c r="F337" s="90" t="s">
        <v>7458</v>
      </c>
      <c r="G337" s="90" t="s">
        <v>6731</v>
      </c>
    </row>
    <row r="338" spans="1:7" x14ac:dyDescent="0.35">
      <c r="A338" t="s">
        <v>4289</v>
      </c>
      <c r="B338" s="444" t="str">
        <f t="shared" si="6"/>
        <v>Number of employees at the end of the reporting period</v>
      </c>
      <c r="C338" t="s">
        <v>3105</v>
      </c>
      <c r="D338" s="90" t="s">
        <v>6040</v>
      </c>
      <c r="E338" s="90" t="s">
        <v>6376</v>
      </c>
      <c r="F338" s="90" t="s">
        <v>7459</v>
      </c>
      <c r="G338" s="90" t="s">
        <v>6732</v>
      </c>
    </row>
    <row r="339" spans="1:7" s="12" customFormat="1" ht="15" thickBot="1" x14ac:dyDescent="0.4">
      <c r="A339" s="12" t="s">
        <v>4290</v>
      </c>
      <c r="B339" s="478" t="str">
        <f t="shared" si="6"/>
        <v>Employee turnover rate [%]  in the reporting period</v>
      </c>
      <c r="C339" s="12" t="s">
        <v>3549</v>
      </c>
      <c r="D339" s="445" t="s">
        <v>6041</v>
      </c>
      <c r="E339" s="445" t="s">
        <v>6377</v>
      </c>
      <c r="F339" s="445" t="s">
        <v>7460</v>
      </c>
      <c r="G339" s="445" t="s">
        <v>6733</v>
      </c>
    </row>
    <row r="340" spans="1:7" x14ac:dyDescent="0.35">
      <c r="A340" t="s">
        <v>4291</v>
      </c>
      <c r="B340" s="444" t="str">
        <f t="shared" si="6"/>
        <v>B9 – Workforce – Health and safety</v>
      </c>
      <c r="C340" t="s">
        <v>31</v>
      </c>
      <c r="D340" s="90" t="s">
        <v>7099</v>
      </c>
      <c r="E340" s="90" t="s">
        <v>6378</v>
      </c>
      <c r="F340" s="90" t="s">
        <v>7283</v>
      </c>
      <c r="G340" s="90" t="s">
        <v>6734</v>
      </c>
    </row>
    <row r="341" spans="1:7" x14ac:dyDescent="0.35">
      <c r="A341" t="s">
        <v>4292</v>
      </c>
      <c r="B341" s="444" t="str">
        <f t="shared" si="6"/>
        <v>Number of recordable work-related accidents in the reporting period</v>
      </c>
      <c r="C341" t="s">
        <v>3106</v>
      </c>
      <c r="D341" s="90" t="s">
        <v>7100</v>
      </c>
      <c r="E341" s="90" t="s">
        <v>6379</v>
      </c>
      <c r="F341" s="90" t="s">
        <v>7461</v>
      </c>
      <c r="G341" s="90" t="s">
        <v>6539</v>
      </c>
    </row>
    <row r="342" spans="1:7" x14ac:dyDescent="0.35">
      <c r="A342" t="s">
        <v>4293</v>
      </c>
      <c r="B342" s="444" t="str">
        <f t="shared" si="6"/>
        <v>Number of hours worked by  one full-time employee in the reporting period</v>
      </c>
      <c r="C342" t="s">
        <v>3107</v>
      </c>
      <c r="D342" s="90" t="s">
        <v>7101</v>
      </c>
      <c r="E342" s="90" t="s">
        <v>6380</v>
      </c>
      <c r="F342" s="90" t="s">
        <v>7462</v>
      </c>
      <c r="G342" s="90" t="s">
        <v>6735</v>
      </c>
    </row>
    <row r="343" spans="1:7" x14ac:dyDescent="0.35">
      <c r="A343" t="s">
        <v>4294</v>
      </c>
      <c r="B343" s="444" t="str">
        <f t="shared" si="6"/>
        <v>Total number of hours worked in a year by all employees in the reporting period</v>
      </c>
      <c r="C343" t="s">
        <v>3108</v>
      </c>
      <c r="D343" s="90" t="s">
        <v>7102</v>
      </c>
      <c r="E343" s="90" t="s">
        <v>6381</v>
      </c>
      <c r="F343" s="90" t="s">
        <v>7463</v>
      </c>
      <c r="G343" s="90" t="s">
        <v>6736</v>
      </c>
    </row>
    <row r="344" spans="1:7" x14ac:dyDescent="0.35">
      <c r="A344" t="s">
        <v>4295</v>
      </c>
      <c r="B344" s="444" t="str">
        <f t="shared" si="6"/>
        <v>Rate of recordable work-related accidents in the reporting period</v>
      </c>
      <c r="C344" t="s">
        <v>3985</v>
      </c>
      <c r="D344" s="90" t="s">
        <v>7103</v>
      </c>
      <c r="E344" s="90" t="s">
        <v>6382</v>
      </c>
      <c r="F344" s="90" t="s">
        <v>7464</v>
      </c>
      <c r="G344" s="90" t="s">
        <v>6737</v>
      </c>
    </row>
    <row r="345" spans="1:7" s="12" customFormat="1" ht="15" thickBot="1" x14ac:dyDescent="0.4">
      <c r="A345" s="12" t="s">
        <v>4296</v>
      </c>
      <c r="B345" s="478" t="str">
        <f t="shared" si="6"/>
        <v>Number of fatalities as a result of work-related injuries and work-related ill health</v>
      </c>
      <c r="C345" s="12" t="s">
        <v>32</v>
      </c>
      <c r="D345" s="445" t="s">
        <v>6042</v>
      </c>
      <c r="E345" s="445" t="s">
        <v>6383</v>
      </c>
      <c r="F345" s="445" t="s">
        <v>7465</v>
      </c>
      <c r="G345" s="445" t="s">
        <v>6738</v>
      </c>
    </row>
    <row r="346" spans="1:7" x14ac:dyDescent="0.35">
      <c r="A346" t="s">
        <v>4297</v>
      </c>
      <c r="B346" s="444" t="str">
        <f t="shared" si="6"/>
        <v>B10 – Workforce – Remuneration collective bargaining and training</v>
      </c>
      <c r="C346" t="s">
        <v>4049</v>
      </c>
      <c r="D346" s="90" t="s">
        <v>7104</v>
      </c>
      <c r="E346" s="90" t="s">
        <v>6194</v>
      </c>
      <c r="F346" s="90" t="s">
        <v>5887</v>
      </c>
      <c r="G346" s="90" t="s">
        <v>6739</v>
      </c>
    </row>
    <row r="347" spans="1:7" x14ac:dyDescent="0.35">
      <c r="A347" t="s">
        <v>4298</v>
      </c>
      <c r="B347" s="444" t="str">
        <f t="shared" si="6"/>
        <v>Employees receive pay that is equal or above applicable minimum wage determined directly by the national minimum wage law or through a collective bargaining agreement</v>
      </c>
      <c r="C347" t="s">
        <v>3053</v>
      </c>
      <c r="D347" s="90" t="s">
        <v>7105</v>
      </c>
      <c r="E347" s="90" t="s">
        <v>6384</v>
      </c>
      <c r="F347" s="90" t="s">
        <v>7466</v>
      </c>
      <c r="G347" s="90" t="s">
        <v>6740</v>
      </c>
    </row>
    <row r="348" spans="1:7" x14ac:dyDescent="0.35">
      <c r="A348" t="s">
        <v>4299</v>
      </c>
      <c r="B348" s="444" t="str">
        <f t="shared" si="6"/>
        <v>Average gross hourly pay level of male employees</v>
      </c>
      <c r="C348" t="s">
        <v>4001</v>
      </c>
      <c r="D348" s="90" t="s">
        <v>7106</v>
      </c>
      <c r="E348" s="90" t="s">
        <v>6084</v>
      </c>
      <c r="F348" s="90" t="s">
        <v>7467</v>
      </c>
      <c r="G348" s="90" t="s">
        <v>6741</v>
      </c>
    </row>
    <row r="349" spans="1:7" x14ac:dyDescent="0.35">
      <c r="A349" t="s">
        <v>4300</v>
      </c>
      <c r="B349" s="444" t="str">
        <f t="shared" si="6"/>
        <v>Average gross hourly pay level of female employees</v>
      </c>
      <c r="C349" t="s">
        <v>4002</v>
      </c>
      <c r="D349" s="90" t="s">
        <v>7107</v>
      </c>
      <c r="E349" s="90" t="s">
        <v>6385</v>
      </c>
      <c r="F349" s="90" t="s">
        <v>7468</v>
      </c>
      <c r="G349" s="90" t="s">
        <v>6742</v>
      </c>
    </row>
    <row r="350" spans="1:7" x14ac:dyDescent="0.35">
      <c r="A350" t="s">
        <v>4301</v>
      </c>
      <c r="B350" s="444" t="str">
        <f t="shared" si="6"/>
        <v>Percentage gap in pay between the  undertaking's female and male employees [%]</v>
      </c>
      <c r="C350" t="s">
        <v>4027</v>
      </c>
      <c r="D350" s="90" t="s">
        <v>7108</v>
      </c>
      <c r="E350" s="90" t="s">
        <v>6386</v>
      </c>
      <c r="F350" s="90" t="s">
        <v>7469</v>
      </c>
      <c r="G350" s="90" t="s">
        <v>6743</v>
      </c>
    </row>
    <row r="351" spans="1:7" x14ac:dyDescent="0.35">
      <c r="A351" t="s">
        <v>4302</v>
      </c>
      <c r="B351" s="444" t="str">
        <f t="shared" si="6"/>
        <v>Number of employees covered by collective bargaining agreements</v>
      </c>
      <c r="C351" t="s">
        <v>2902</v>
      </c>
      <c r="D351" s="90" t="s">
        <v>6043</v>
      </c>
      <c r="E351" s="90" t="s">
        <v>5972</v>
      </c>
      <c r="F351" s="90" t="s">
        <v>7470</v>
      </c>
      <c r="G351" s="90" t="s">
        <v>6540</v>
      </c>
    </row>
    <row r="352" spans="1:7" s="12" customFormat="1" ht="15" thickBot="1" x14ac:dyDescent="0.4">
      <c r="A352" s="12" t="s">
        <v>4303</v>
      </c>
      <c r="B352" s="478" t="str">
        <f t="shared" si="6"/>
        <v>Percentage of employees covered by collective bargaining agreements [%]</v>
      </c>
      <c r="C352" s="12" t="s">
        <v>3094</v>
      </c>
      <c r="D352" s="445" t="s">
        <v>6044</v>
      </c>
      <c r="E352" s="445" t="s">
        <v>5973</v>
      </c>
      <c r="F352" s="445" t="s">
        <v>7471</v>
      </c>
      <c r="G352" s="445" t="s">
        <v>6541</v>
      </c>
    </row>
    <row r="353" spans="1:7" x14ac:dyDescent="0.35">
      <c r="A353" t="s">
        <v>4304</v>
      </c>
      <c r="B353" s="444" t="str">
        <f t="shared" si="6"/>
        <v>Number of annual training hours per employee during the reporting period</v>
      </c>
      <c r="C353" t="s">
        <v>3550</v>
      </c>
      <c r="D353" s="90" t="s">
        <v>7109</v>
      </c>
      <c r="E353" s="90" t="s">
        <v>6387</v>
      </c>
      <c r="F353" s="90" t="s">
        <v>7472</v>
      </c>
      <c r="G353" s="90" t="s">
        <v>6744</v>
      </c>
    </row>
    <row r="354" spans="1:7" s="12" customFormat="1" ht="15" thickBot="1" x14ac:dyDescent="0.4">
      <c r="A354" s="12" t="s">
        <v>4305</v>
      </c>
      <c r="B354" s="478" t="str">
        <f t="shared" si="6"/>
        <v>Average number of annual training hours per employee</v>
      </c>
      <c r="C354" s="12" t="s">
        <v>2919</v>
      </c>
      <c r="D354" s="445" t="s">
        <v>7110</v>
      </c>
      <c r="E354" s="445" t="s">
        <v>6388</v>
      </c>
      <c r="F354" s="445" t="s">
        <v>7473</v>
      </c>
      <c r="G354" s="445" t="s">
        <v>6745</v>
      </c>
    </row>
    <row r="355" spans="1:7" x14ac:dyDescent="0.35">
      <c r="A355" t="s">
        <v>4306</v>
      </c>
      <c r="B355" s="444" t="str">
        <f t="shared" si="6"/>
        <v>C5 – Additional (general) workforce characteristics</v>
      </c>
      <c r="C355" t="s">
        <v>33</v>
      </c>
      <c r="D355" s="90" t="s">
        <v>7111</v>
      </c>
      <c r="E355" s="90" t="s">
        <v>6203</v>
      </c>
      <c r="F355" s="90" t="s">
        <v>7474</v>
      </c>
      <c r="G355" s="90" t="s">
        <v>6602</v>
      </c>
    </row>
    <row r="356" spans="1:7" x14ac:dyDescent="0.35">
      <c r="A356" t="s">
        <v>4307</v>
      </c>
      <c r="B356" s="444" t="str">
        <f t="shared" si="6"/>
        <v>Number of male employees at management level</v>
      </c>
      <c r="C356" t="s">
        <v>3986</v>
      </c>
      <c r="D356" s="90" t="s">
        <v>7112</v>
      </c>
      <c r="E356" s="90" t="s">
        <v>6389</v>
      </c>
      <c r="F356" s="90" t="s">
        <v>7475</v>
      </c>
      <c r="G356" s="90" t="s">
        <v>6746</v>
      </c>
    </row>
    <row r="357" spans="1:7" x14ac:dyDescent="0.35">
      <c r="A357" t="s">
        <v>4308</v>
      </c>
      <c r="B357" s="444" t="str">
        <f t="shared" si="6"/>
        <v>Number of female employees at management level</v>
      </c>
      <c r="C357" t="s">
        <v>2903</v>
      </c>
      <c r="D357" s="90" t="s">
        <v>7113</v>
      </c>
      <c r="E357" s="90" t="s">
        <v>6390</v>
      </c>
      <c r="F357" s="90" t="s">
        <v>7476</v>
      </c>
      <c r="G357" s="90" t="s">
        <v>6747</v>
      </c>
    </row>
    <row r="358" spans="1:7" x14ac:dyDescent="0.35">
      <c r="A358" t="s">
        <v>4309</v>
      </c>
      <c r="B358" s="444" t="str">
        <f t="shared" si="6"/>
        <v>Female-to-male ratio at management level for the reporting period</v>
      </c>
      <c r="C358" t="s">
        <v>2917</v>
      </c>
      <c r="D358" s="90" t="s">
        <v>7114</v>
      </c>
      <c r="E358" s="90" t="s">
        <v>6391</v>
      </c>
      <c r="F358" s="90" t="s">
        <v>7477</v>
      </c>
      <c r="G358" s="90" t="s">
        <v>6748</v>
      </c>
    </row>
    <row r="359" spans="1:7" x14ac:dyDescent="0.35">
      <c r="A359" t="s">
        <v>4310</v>
      </c>
      <c r="B359" s="444" t="str">
        <f t="shared" si="6"/>
        <v>Total self-employed workers without personnel that are working exclusively for the undertaking</v>
      </c>
      <c r="C359" t="s">
        <v>3054</v>
      </c>
      <c r="D359" s="90" t="s">
        <v>7115</v>
      </c>
      <c r="E359" s="90" t="s">
        <v>6392</v>
      </c>
      <c r="F359" s="90" t="s">
        <v>5888</v>
      </c>
      <c r="G359" s="90" t="s">
        <v>6749</v>
      </c>
    </row>
    <row r="360" spans="1:7" s="12" customFormat="1" ht="15" thickBot="1" x14ac:dyDescent="0.4">
      <c r="A360" s="12" t="s">
        <v>4311</v>
      </c>
      <c r="B360" s="478" t="str">
        <f t="shared" si="6"/>
        <v>Total temporary workers provided by undertakings primarily engaged in employment activities</v>
      </c>
      <c r="C360" s="12" t="s">
        <v>34</v>
      </c>
      <c r="D360" s="445" t="s">
        <v>7116</v>
      </c>
      <c r="E360" s="445" t="s">
        <v>6393</v>
      </c>
      <c r="F360" s="445" t="s">
        <v>7478</v>
      </c>
      <c r="G360" s="445" t="s">
        <v>5799</v>
      </c>
    </row>
    <row r="361" spans="1:7" x14ac:dyDescent="0.35">
      <c r="A361" t="s">
        <v>4312</v>
      </c>
      <c r="B361" s="444" t="str">
        <f t="shared" si="6"/>
        <v>C6 – Additional own workforce information - Human rights policies and processes</v>
      </c>
      <c r="C361" t="s">
        <v>35</v>
      </c>
      <c r="D361" s="90" t="s">
        <v>7117</v>
      </c>
      <c r="E361" s="90" t="s">
        <v>6204</v>
      </c>
      <c r="F361" s="90" t="s">
        <v>7479</v>
      </c>
      <c r="G361" s="90" t="s">
        <v>6603</v>
      </c>
    </row>
    <row r="362" spans="1:7" x14ac:dyDescent="0.35">
      <c r="A362" t="s">
        <v>4313</v>
      </c>
      <c r="B362" s="444" t="str">
        <f t="shared" si="6"/>
        <v>Does the undertaking have a code of conduct or human rights policy for its own workforce?</v>
      </c>
      <c r="C362" t="s">
        <v>36</v>
      </c>
      <c r="D362" s="90" t="s">
        <v>7118</v>
      </c>
      <c r="E362" s="90" t="s">
        <v>6394</v>
      </c>
      <c r="F362" s="90" t="s">
        <v>7480</v>
      </c>
      <c r="G362" s="90" t="s">
        <v>6750</v>
      </c>
    </row>
    <row r="363" spans="1:7" x14ac:dyDescent="0.35">
      <c r="A363" t="s">
        <v>4314</v>
      </c>
      <c r="B363" s="444" t="str">
        <f t="shared" si="6"/>
        <v>If yes does this cover:</v>
      </c>
      <c r="C363" t="s">
        <v>4050</v>
      </c>
      <c r="D363" s="90" t="s">
        <v>7119</v>
      </c>
      <c r="E363" s="90" t="s">
        <v>6395</v>
      </c>
      <c r="F363" s="90" t="s">
        <v>7481</v>
      </c>
      <c r="G363" s="90" t="s">
        <v>6751</v>
      </c>
    </row>
    <row r="364" spans="1:7" x14ac:dyDescent="0.35">
      <c r="A364" t="s">
        <v>4315</v>
      </c>
      <c r="B364" s="444" t="str">
        <f t="shared" si="6"/>
        <v>· child labour</v>
      </c>
      <c r="C364" t="s">
        <v>4503</v>
      </c>
      <c r="D364" s="90" t="s">
        <v>7120</v>
      </c>
      <c r="E364" s="90" t="s">
        <v>6396</v>
      </c>
      <c r="F364" s="90" t="s">
        <v>6101</v>
      </c>
      <c r="G364" s="90" t="s">
        <v>5800</v>
      </c>
    </row>
    <row r="365" spans="1:7" x14ac:dyDescent="0.35">
      <c r="A365" t="s">
        <v>4316</v>
      </c>
      <c r="B365" s="444" t="str">
        <f t="shared" si="6"/>
        <v>· forced labour</v>
      </c>
      <c r="C365" t="s">
        <v>4504</v>
      </c>
      <c r="D365" s="90" t="s">
        <v>6069</v>
      </c>
      <c r="E365" s="90" t="s">
        <v>6397</v>
      </c>
      <c r="F365" s="90" t="s">
        <v>5889</v>
      </c>
      <c r="G365" s="90" t="s">
        <v>5801</v>
      </c>
    </row>
    <row r="366" spans="1:7" x14ac:dyDescent="0.35">
      <c r="A366" t="s">
        <v>4317</v>
      </c>
      <c r="B366" s="444" t="str">
        <f t="shared" si="6"/>
        <v>· human trafficking</v>
      </c>
      <c r="C366" t="s">
        <v>4505</v>
      </c>
      <c r="D366" s="90" t="s">
        <v>7121</v>
      </c>
      <c r="E366" s="90" t="s">
        <v>6398</v>
      </c>
      <c r="F366" s="90" t="s">
        <v>7482</v>
      </c>
      <c r="G366" s="90" t="s">
        <v>6752</v>
      </c>
    </row>
    <row r="367" spans="1:7" x14ac:dyDescent="0.35">
      <c r="A367" t="s">
        <v>4318</v>
      </c>
      <c r="B367" s="444" t="str">
        <f t="shared" si="6"/>
        <v>· discrimination</v>
      </c>
      <c r="C367" t="s">
        <v>4506</v>
      </c>
      <c r="D367" s="90" t="s">
        <v>5694</v>
      </c>
      <c r="E367" s="90" t="s">
        <v>6399</v>
      </c>
      <c r="F367" s="90" t="s">
        <v>5890</v>
      </c>
      <c r="G367" s="90" t="s">
        <v>5802</v>
      </c>
    </row>
    <row r="368" spans="1:7" x14ac:dyDescent="0.35">
      <c r="A368" t="s">
        <v>4319</v>
      </c>
      <c r="B368" s="444" t="str">
        <f t="shared" si="6"/>
        <v>· accident prevention</v>
      </c>
      <c r="C368" t="s">
        <v>4507</v>
      </c>
      <c r="D368" s="90" t="s">
        <v>7122</v>
      </c>
      <c r="E368" s="90" t="s">
        <v>6400</v>
      </c>
      <c r="F368" s="90" t="s">
        <v>7483</v>
      </c>
      <c r="G368" s="90" t="s">
        <v>5803</v>
      </c>
    </row>
    <row r="369" spans="1:7" x14ac:dyDescent="0.35">
      <c r="A369" t="s">
        <v>4320</v>
      </c>
      <c r="B369" s="444" t="str">
        <f t="shared" si="6"/>
        <v>· other? ( if yes specify)</v>
      </c>
      <c r="C369" t="s">
        <v>4508</v>
      </c>
      <c r="D369" s="90" t="s">
        <v>7123</v>
      </c>
      <c r="E369" s="90" t="s">
        <v>6401</v>
      </c>
      <c r="F369" s="90" t="s">
        <v>7484</v>
      </c>
      <c r="G369" s="90" t="s">
        <v>6753</v>
      </c>
    </row>
    <row r="370" spans="1:7" x14ac:dyDescent="0.35">
      <c r="A370" t="s">
        <v>4321</v>
      </c>
      <c r="B370" s="444" t="str">
        <f t="shared" si="6"/>
        <v>Specify other types of content covered by the code of conduct or human rights policy</v>
      </c>
      <c r="C370" t="s">
        <v>3102</v>
      </c>
      <c r="D370" s="90" t="s">
        <v>7124</v>
      </c>
      <c r="E370" s="90" t="s">
        <v>6402</v>
      </c>
      <c r="F370" s="90" t="s">
        <v>7485</v>
      </c>
      <c r="G370" s="90" t="s">
        <v>6754</v>
      </c>
    </row>
    <row r="371" spans="1:7" s="12" customFormat="1" ht="15" thickBot="1" x14ac:dyDescent="0.4">
      <c r="A371" s="12" t="s">
        <v>4322</v>
      </c>
      <c r="B371" s="478" t="str">
        <f t="shared" si="6"/>
        <v>Does the undertaking have a complaint-handling mechanism for its own workforce?</v>
      </c>
      <c r="C371" s="12" t="s">
        <v>3987</v>
      </c>
      <c r="D371" s="445" t="s">
        <v>7125</v>
      </c>
      <c r="E371" s="445" t="s">
        <v>6403</v>
      </c>
      <c r="F371" s="445" t="s">
        <v>7486</v>
      </c>
      <c r="G371" s="445" t="s">
        <v>6755</v>
      </c>
    </row>
    <row r="372" spans="1:7" x14ac:dyDescent="0.35">
      <c r="A372" t="s">
        <v>4323</v>
      </c>
      <c r="B372" s="444" t="str">
        <f t="shared" si="6"/>
        <v>C7 – Severe negative human rights incidents</v>
      </c>
      <c r="C372" t="s">
        <v>37</v>
      </c>
      <c r="D372" s="90" t="s">
        <v>7126</v>
      </c>
      <c r="E372" s="90" t="s">
        <v>6205</v>
      </c>
      <c r="F372" s="90" t="s">
        <v>7487</v>
      </c>
      <c r="G372" s="90" t="s">
        <v>6756</v>
      </c>
    </row>
    <row r="373" spans="1:7" x14ac:dyDescent="0.35">
      <c r="A373" t="s">
        <v>4324</v>
      </c>
      <c r="B373" s="444" t="str">
        <f t="shared" si="6"/>
        <v>Does the undertaking have confirmed incidents in its own workforce?</v>
      </c>
      <c r="C373" t="s">
        <v>3017</v>
      </c>
      <c r="D373" s="90" t="s">
        <v>7127</v>
      </c>
      <c r="E373" s="90" t="s">
        <v>6404</v>
      </c>
      <c r="F373" s="90" t="s">
        <v>7488</v>
      </c>
      <c r="G373" s="90" t="s">
        <v>6757</v>
      </c>
    </row>
    <row r="374" spans="1:7" x14ac:dyDescent="0.35">
      <c r="A374" t="s">
        <v>4325</v>
      </c>
      <c r="B374" s="444" t="str">
        <f t="shared" si="6"/>
        <v>If yes are incidents related to:</v>
      </c>
      <c r="C374" t="s">
        <v>4051</v>
      </c>
      <c r="D374" s="90" t="s">
        <v>7128</v>
      </c>
      <c r="E374" s="90" t="s">
        <v>6405</v>
      </c>
      <c r="F374" s="90" t="s">
        <v>7489</v>
      </c>
      <c r="G374" s="90" t="s">
        <v>6758</v>
      </c>
    </row>
    <row r="375" spans="1:7" x14ac:dyDescent="0.35">
      <c r="A375" t="s">
        <v>4326</v>
      </c>
      <c r="B375" s="444" t="str">
        <f t="shared" si="6"/>
        <v>Specify other human rights related to the confirmed incidents</v>
      </c>
      <c r="C375" t="s">
        <v>3541</v>
      </c>
      <c r="D375" s="90" t="s">
        <v>7129</v>
      </c>
      <c r="E375" s="90" t="s">
        <v>6406</v>
      </c>
      <c r="F375" s="90" t="s">
        <v>7490</v>
      </c>
      <c r="G375" s="90" t="s">
        <v>6759</v>
      </c>
    </row>
    <row r="376" spans="1:7" x14ac:dyDescent="0.35">
      <c r="A376" t="s">
        <v>4327</v>
      </c>
      <c r="B376" s="444" t="str">
        <f t="shared" si="6"/>
        <v>Description of actions taken to address the confirmed incidents</v>
      </c>
      <c r="C376" t="s">
        <v>4003</v>
      </c>
      <c r="D376" s="90" t="s">
        <v>7130</v>
      </c>
      <c r="E376" s="90" t="s">
        <v>6407</v>
      </c>
      <c r="F376" s="90" t="s">
        <v>7491</v>
      </c>
      <c r="G376" s="90" t="s">
        <v>6760</v>
      </c>
    </row>
    <row r="377" spans="1:7" x14ac:dyDescent="0.35">
      <c r="A377" t="s">
        <v>4328</v>
      </c>
      <c r="B377" s="444" t="str">
        <f t="shared" si="6"/>
        <v>Is the undertaking aware of any confirmed incidents involving workers in the value chain affected communities consumers and end-users?</v>
      </c>
      <c r="C377" t="s">
        <v>4052</v>
      </c>
      <c r="D377" s="90" t="s">
        <v>7131</v>
      </c>
      <c r="E377" s="90" t="s">
        <v>6408</v>
      </c>
      <c r="F377" s="90" t="s">
        <v>7492</v>
      </c>
      <c r="G377" s="90" t="s">
        <v>6761</v>
      </c>
    </row>
    <row r="378" spans="1:7" s="12" customFormat="1" ht="15" thickBot="1" x14ac:dyDescent="0.4">
      <c r="A378" s="12" t="s">
        <v>4329</v>
      </c>
      <c r="B378" s="478" t="str">
        <f t="shared" si="6"/>
        <v>Specification of any confirmed incident involving workers in the value chain affected communities consumers and end-users</v>
      </c>
      <c r="C378" s="12" t="s">
        <v>4053</v>
      </c>
      <c r="D378" s="445" t="s">
        <v>7132</v>
      </c>
      <c r="E378" s="445" t="s">
        <v>6409</v>
      </c>
      <c r="F378" s="445" t="s">
        <v>7493</v>
      </c>
      <c r="G378" s="445" t="s">
        <v>6762</v>
      </c>
    </row>
    <row r="379" spans="1:7" s="120" customFormat="1" ht="15" thickBot="1" x14ac:dyDescent="0.4">
      <c r="A379" s="120" t="s">
        <v>4330</v>
      </c>
      <c r="B379" s="480" t="str">
        <f t="shared" si="6"/>
        <v>Disclosure of any other social and or entity specific social disclosures</v>
      </c>
      <c r="C379" s="120" t="s">
        <v>4059</v>
      </c>
      <c r="D379" s="481" t="s">
        <v>7133</v>
      </c>
      <c r="E379" s="481" t="s">
        <v>6410</v>
      </c>
      <c r="F379" s="481" t="s">
        <v>7494</v>
      </c>
      <c r="G379" s="481" t="s">
        <v>6763</v>
      </c>
    </row>
    <row r="380" spans="1:7" x14ac:dyDescent="0.35">
      <c r="A380" t="s">
        <v>4331</v>
      </c>
      <c r="B380" t="str">
        <f t="shared" si="6"/>
        <v>B11 – Convictions and fines for corruption and bribery</v>
      </c>
      <c r="C380" t="s">
        <v>38</v>
      </c>
      <c r="D380" s="90" t="s">
        <v>7134</v>
      </c>
      <c r="E380" s="90" t="s">
        <v>6196</v>
      </c>
      <c r="F380" s="90" t="s">
        <v>5891</v>
      </c>
      <c r="G380" s="90" t="s">
        <v>6764</v>
      </c>
    </row>
    <row r="381" spans="1:7" x14ac:dyDescent="0.35">
      <c r="A381" t="s">
        <v>4332</v>
      </c>
      <c r="B381" t="str">
        <f t="shared" si="6"/>
        <v>Has the undertaking incurred in convictions and fines in the reporting period?</v>
      </c>
      <c r="C381" t="s">
        <v>3089</v>
      </c>
      <c r="D381" s="90" t="s">
        <v>7135</v>
      </c>
      <c r="E381" s="90" t="s">
        <v>6411</v>
      </c>
      <c r="F381" s="90" t="s">
        <v>7495</v>
      </c>
      <c r="G381" s="90" t="s">
        <v>6765</v>
      </c>
    </row>
    <row r="382" spans="1:7" x14ac:dyDescent="0.35">
      <c r="A382" t="s">
        <v>4333</v>
      </c>
      <c r="B382" t="str">
        <f t="shared" si="6"/>
        <v>Total number of convictions  for the violation of anti-corruption and anti-bribery laws</v>
      </c>
      <c r="C382" t="s">
        <v>3109</v>
      </c>
      <c r="D382" s="90" t="s">
        <v>7136</v>
      </c>
      <c r="E382" s="90" t="s">
        <v>6412</v>
      </c>
      <c r="F382" s="90" t="s">
        <v>6102</v>
      </c>
      <c r="G382" s="90" t="s">
        <v>6766</v>
      </c>
    </row>
    <row r="383" spans="1:7" s="12" customFormat="1" ht="15" thickBot="1" x14ac:dyDescent="0.4">
      <c r="A383" s="12" t="s">
        <v>4334</v>
      </c>
      <c r="B383" s="12" t="str">
        <f t="shared" si="6"/>
        <v>Total amount of fines for the violation of anti-corruption and anti-bribery laws</v>
      </c>
      <c r="C383" s="12" t="s">
        <v>4511</v>
      </c>
      <c r="D383" s="445" t="s">
        <v>7137</v>
      </c>
      <c r="E383" s="445" t="s">
        <v>6413</v>
      </c>
      <c r="F383" s="445" t="s">
        <v>7496</v>
      </c>
      <c r="G383" s="445" t="s">
        <v>6767</v>
      </c>
    </row>
    <row r="384" spans="1:7" x14ac:dyDescent="0.35">
      <c r="A384" t="s">
        <v>4335</v>
      </c>
      <c r="B384" t="str">
        <f t="shared" si="6"/>
        <v>C8 – Revenues from certain activities</v>
      </c>
      <c r="C384" t="s">
        <v>4619</v>
      </c>
      <c r="D384" s="90" t="s">
        <v>7138</v>
      </c>
      <c r="E384" s="90" t="s">
        <v>5974</v>
      </c>
      <c r="F384" s="90" t="s">
        <v>7497</v>
      </c>
      <c r="G384" s="90" t="s">
        <v>6768</v>
      </c>
    </row>
    <row r="385" spans="1:7" x14ac:dyDescent="0.35">
      <c r="A385" t="s">
        <v>4336</v>
      </c>
      <c r="B385" t="str">
        <f t="shared" si="6"/>
        <v>Is the undertaking deriving revenues from one of the activities listed below?</v>
      </c>
      <c r="C385" t="s">
        <v>3090</v>
      </c>
      <c r="D385" s="90" t="s">
        <v>7139</v>
      </c>
      <c r="E385" s="90" t="s">
        <v>6414</v>
      </c>
      <c r="F385" s="90" t="s">
        <v>7498</v>
      </c>
      <c r="G385" s="90" t="s">
        <v>5804</v>
      </c>
    </row>
    <row r="386" spans="1:7" x14ac:dyDescent="0.35">
      <c r="A386" t="s">
        <v>4337</v>
      </c>
      <c r="B386" t="str">
        <f t="shared" si="6"/>
        <v>Monetary amount in</v>
      </c>
      <c r="C386" t="s">
        <v>3988</v>
      </c>
      <c r="D386" s="90" t="s">
        <v>7140</v>
      </c>
      <c r="E386" s="90" t="s">
        <v>5975</v>
      </c>
      <c r="F386" s="90" t="s">
        <v>5892</v>
      </c>
      <c r="G386" s="90" t="s">
        <v>5805</v>
      </c>
    </row>
    <row r="387" spans="1:7" x14ac:dyDescent="0.35">
      <c r="A387" t="s">
        <v>4338</v>
      </c>
      <c r="B387" t="str">
        <f t="shared" si="6"/>
        <v>Revenue derived from controversial weapons (anti-personnel mines cluster munitions chemical weapons and biological weapons)</v>
      </c>
      <c r="C387" t="s">
        <v>4054</v>
      </c>
      <c r="D387" s="90" t="s">
        <v>7141</v>
      </c>
      <c r="E387" s="90" t="s">
        <v>6415</v>
      </c>
      <c r="F387" s="90" t="s">
        <v>7499</v>
      </c>
      <c r="G387" s="90" t="s">
        <v>6542</v>
      </c>
    </row>
    <row r="388" spans="1:7" x14ac:dyDescent="0.35">
      <c r="A388" t="s">
        <v>4339</v>
      </c>
      <c r="B388" t="str">
        <f t="shared" ref="B388:B451" si="7">INDEX(C388:G388,MATCH(template_selected_display_language,$C$3:$G$3,0))</f>
        <v>Revenue derived from cultivation and production of tobacco</v>
      </c>
      <c r="C388" t="s">
        <v>3043</v>
      </c>
      <c r="D388" s="90" t="s">
        <v>7142</v>
      </c>
      <c r="E388" s="90" t="s">
        <v>6416</v>
      </c>
      <c r="F388" s="90" t="s">
        <v>7500</v>
      </c>
      <c r="G388" s="90" t="s">
        <v>6769</v>
      </c>
    </row>
    <row r="389" spans="1:7" x14ac:dyDescent="0.35">
      <c r="A389" t="s">
        <v>4340</v>
      </c>
      <c r="B389" t="str">
        <f t="shared" si="7"/>
        <v>Revenue derived from coal</v>
      </c>
      <c r="C389" t="s">
        <v>3042</v>
      </c>
      <c r="D389" s="90" t="s">
        <v>6045</v>
      </c>
      <c r="E389" s="90" t="s">
        <v>6417</v>
      </c>
      <c r="F389" s="90" t="s">
        <v>7501</v>
      </c>
      <c r="G389" s="90" t="s">
        <v>5806</v>
      </c>
    </row>
    <row r="390" spans="1:7" x14ac:dyDescent="0.35">
      <c r="A390" t="s">
        <v>4341</v>
      </c>
      <c r="B390" t="str">
        <f t="shared" si="7"/>
        <v>Revenue derived from oil</v>
      </c>
      <c r="C390" t="s">
        <v>3041</v>
      </c>
      <c r="D390" s="90" t="s">
        <v>7143</v>
      </c>
      <c r="E390" s="90" t="s">
        <v>6418</v>
      </c>
      <c r="F390" s="90" t="s">
        <v>7502</v>
      </c>
      <c r="G390" s="90" t="s">
        <v>5807</v>
      </c>
    </row>
    <row r="391" spans="1:7" x14ac:dyDescent="0.35">
      <c r="A391" t="s">
        <v>4342</v>
      </c>
      <c r="B391" t="str">
        <f t="shared" si="7"/>
        <v>Revenue derived from gas</v>
      </c>
      <c r="C391" t="s">
        <v>3040</v>
      </c>
      <c r="D391" s="90" t="s">
        <v>7144</v>
      </c>
      <c r="E391" s="90" t="s">
        <v>6419</v>
      </c>
      <c r="F391" s="90" t="s">
        <v>7503</v>
      </c>
      <c r="G391" s="90" t="s">
        <v>6108</v>
      </c>
    </row>
    <row r="392" spans="1:7" x14ac:dyDescent="0.35">
      <c r="A392" t="s">
        <v>4343</v>
      </c>
      <c r="B392" t="str">
        <f t="shared" si="7"/>
        <v>Total revenues derived from fossil fuel (coal oil and gas) sector (i.e. the undertaking derives revenues from exploration mining extraction production processing storage refining or distribution including transportation storage and trade of fossil fuels as defined in Article 2 point (62) of Regulation (EU) 2018 1999 of the European Parliament and the Council)</v>
      </c>
      <c r="C392" t="s">
        <v>4636</v>
      </c>
      <c r="D392" s="90" t="s">
        <v>7145</v>
      </c>
      <c r="E392" s="90" t="s">
        <v>6420</v>
      </c>
      <c r="F392" s="90" t="s">
        <v>7504</v>
      </c>
      <c r="G392" s="90" t="s">
        <v>6543</v>
      </c>
    </row>
    <row r="393" spans="1:7" s="12" customFormat="1" ht="15" thickBot="1" x14ac:dyDescent="0.4">
      <c r="A393" s="12" t="s">
        <v>4344</v>
      </c>
      <c r="B393" s="12" t="str">
        <f t="shared" si="7"/>
        <v>Revenue derived from chemicals production</v>
      </c>
      <c r="C393" s="12" t="s">
        <v>3039</v>
      </c>
      <c r="D393" s="445" t="s">
        <v>7146</v>
      </c>
      <c r="E393" s="445" t="s">
        <v>6421</v>
      </c>
      <c r="F393" s="445" t="s">
        <v>7505</v>
      </c>
      <c r="G393" s="445" t="s">
        <v>5808</v>
      </c>
    </row>
    <row r="394" spans="1:7" x14ac:dyDescent="0.35">
      <c r="A394" t="s">
        <v>4345</v>
      </c>
      <c r="B394" t="str">
        <f t="shared" si="7"/>
        <v>C8 – Exclusion from EU reference benchmarks</v>
      </c>
      <c r="C394" t="s">
        <v>4028</v>
      </c>
      <c r="D394" s="90" t="s">
        <v>7147</v>
      </c>
      <c r="E394" s="90" t="s">
        <v>6422</v>
      </c>
      <c r="F394" s="90" t="s">
        <v>7506</v>
      </c>
      <c r="G394" s="90" t="s">
        <v>5809</v>
      </c>
    </row>
    <row r="395" spans="1:7" x14ac:dyDescent="0.35">
      <c r="A395" t="s">
        <v>4346</v>
      </c>
      <c r="B395" t="str">
        <f t="shared" si="7"/>
        <v>Undertakings are excluded from the EU Paris-aligned Benchmarks if they  derive:</v>
      </c>
      <c r="C395" t="s">
        <v>2901</v>
      </c>
      <c r="D395" s="90" t="s">
        <v>7148</v>
      </c>
      <c r="E395" s="90" t="s">
        <v>6423</v>
      </c>
      <c r="F395" s="90" t="s">
        <v>7507</v>
      </c>
      <c r="G395" s="90" t="s">
        <v>6837</v>
      </c>
    </row>
    <row r="396" spans="1:7" x14ac:dyDescent="0.35">
      <c r="A396" t="s">
        <v>4347</v>
      </c>
      <c r="B396" t="str">
        <f t="shared" si="7"/>
        <v>1% or more of their revenues from exploration mining extraction distribution or refining of hard coal and lignite</v>
      </c>
      <c r="C396" t="s">
        <v>4004</v>
      </c>
      <c r="D396" s="90" t="s">
        <v>7149</v>
      </c>
      <c r="E396" s="90" t="s">
        <v>6424</v>
      </c>
      <c r="F396" s="90" t="s">
        <v>7508</v>
      </c>
      <c r="G396" s="90" t="s">
        <v>6524</v>
      </c>
    </row>
    <row r="397" spans="1:7" x14ac:dyDescent="0.35">
      <c r="A397" t="s">
        <v>4348</v>
      </c>
      <c r="B397" t="str">
        <f t="shared" si="7"/>
        <v>10% or more of their revenues from the exploration extraction distribution or refining of oil fuels</v>
      </c>
      <c r="C397" t="s">
        <v>4005</v>
      </c>
      <c r="D397" s="90" t="s">
        <v>7150</v>
      </c>
      <c r="E397" s="90" t="s">
        <v>6425</v>
      </c>
      <c r="F397" s="90" t="s">
        <v>7509</v>
      </c>
      <c r="G397" s="90" t="s">
        <v>6770</v>
      </c>
    </row>
    <row r="398" spans="1:7" x14ac:dyDescent="0.35">
      <c r="A398" t="s">
        <v>4349</v>
      </c>
      <c r="B398" t="str">
        <f t="shared" si="7"/>
        <v>50% or more of their revenues from the exploration extraction manufacturing or distribution of gaseous fuels</v>
      </c>
      <c r="C398" t="s">
        <v>4006</v>
      </c>
      <c r="D398" s="90" t="s">
        <v>7151</v>
      </c>
      <c r="E398" s="90" t="s">
        <v>6426</v>
      </c>
      <c r="F398" s="90" t="s">
        <v>7510</v>
      </c>
      <c r="G398" s="90" t="s">
        <v>6771</v>
      </c>
    </row>
    <row r="399" spans="1:7" x14ac:dyDescent="0.35">
      <c r="A399" t="s">
        <v>4350</v>
      </c>
      <c r="B399" t="str">
        <f t="shared" si="7"/>
        <v>50% or more of their revenues from electricity generation with a GHG intensity of more than 100g CO2 e kWh</v>
      </c>
      <c r="C399" t="s">
        <v>4060</v>
      </c>
      <c r="D399" s="90" t="s">
        <v>7152</v>
      </c>
      <c r="E399" s="90" t="s">
        <v>6427</v>
      </c>
      <c r="F399" s="90" t="s">
        <v>7511</v>
      </c>
      <c r="G399" s="90" t="s">
        <v>6772</v>
      </c>
    </row>
    <row r="400" spans="1:7" x14ac:dyDescent="0.35">
      <c r="A400" t="s">
        <v>4351</v>
      </c>
      <c r="B400" t="str">
        <f t="shared" si="7"/>
        <v>None of the above</v>
      </c>
      <c r="C400" t="s">
        <v>2924</v>
      </c>
      <c r="D400" s="90" t="s">
        <v>7153</v>
      </c>
      <c r="E400" s="90" t="s">
        <v>6428</v>
      </c>
      <c r="F400" s="90" t="s">
        <v>7512</v>
      </c>
      <c r="G400" s="90" t="s">
        <v>5810</v>
      </c>
    </row>
    <row r="401" spans="1:7" s="12" customFormat="1" ht="15" thickBot="1" x14ac:dyDescent="0.4">
      <c r="A401" s="12" t="s">
        <v>4352</v>
      </c>
      <c r="B401" s="12" t="str">
        <f t="shared" si="7"/>
        <v>Undertakings are excluded from any EU reference benchmarks that are aligned with the Paris Agreement</v>
      </c>
      <c r="C401" s="12" t="s">
        <v>3989</v>
      </c>
      <c r="D401" s="445" t="s">
        <v>7154</v>
      </c>
      <c r="E401" s="445" t="s">
        <v>6429</v>
      </c>
      <c r="F401" s="445" t="s">
        <v>7513</v>
      </c>
      <c r="G401" s="445" t="s">
        <v>6773</v>
      </c>
    </row>
    <row r="402" spans="1:7" x14ac:dyDescent="0.35">
      <c r="A402" t="s">
        <v>4353</v>
      </c>
      <c r="B402" t="str">
        <f t="shared" si="7"/>
        <v>C9 – Gender diversity ratio in the governance body</v>
      </c>
      <c r="C402" t="s">
        <v>39</v>
      </c>
      <c r="D402" s="90" t="s">
        <v>6046</v>
      </c>
      <c r="E402" s="90" t="s">
        <v>6430</v>
      </c>
      <c r="F402" s="90" t="s">
        <v>7514</v>
      </c>
      <c r="G402" s="90" t="s">
        <v>6605</v>
      </c>
    </row>
    <row r="403" spans="1:7" x14ac:dyDescent="0.35">
      <c r="A403" t="s">
        <v>4354</v>
      </c>
      <c r="B403" t="str">
        <f t="shared" si="7"/>
        <v>Does the undertaking have a governance body in place?</v>
      </c>
      <c r="C403" t="s">
        <v>3091</v>
      </c>
      <c r="D403" s="90" t="s">
        <v>7155</v>
      </c>
      <c r="E403" s="90" t="s">
        <v>6431</v>
      </c>
      <c r="F403" s="90" t="s">
        <v>7515</v>
      </c>
      <c r="G403" s="90" t="s">
        <v>6774</v>
      </c>
    </row>
    <row r="404" spans="1:7" x14ac:dyDescent="0.35">
      <c r="A404" t="s">
        <v>4355</v>
      </c>
      <c r="B404" t="str">
        <f t="shared" si="7"/>
        <v>Number of female board members at the end of the reporting period</v>
      </c>
      <c r="C404" t="s">
        <v>3546</v>
      </c>
      <c r="D404" s="90" t="s">
        <v>6047</v>
      </c>
      <c r="E404" s="90" t="s">
        <v>6432</v>
      </c>
      <c r="F404" s="90" t="s">
        <v>7516</v>
      </c>
      <c r="G404" s="90" t="s">
        <v>6775</v>
      </c>
    </row>
    <row r="405" spans="1:7" x14ac:dyDescent="0.35">
      <c r="A405" t="s">
        <v>4356</v>
      </c>
      <c r="B405" t="str">
        <f t="shared" si="7"/>
        <v>Number of male board members at the end of the reporting period</v>
      </c>
      <c r="C405" t="s">
        <v>3547</v>
      </c>
      <c r="D405" s="90" t="s">
        <v>6048</v>
      </c>
      <c r="E405" s="90" t="s">
        <v>6433</v>
      </c>
      <c r="F405" s="90" t="s">
        <v>7517</v>
      </c>
      <c r="G405" s="90" t="s">
        <v>6776</v>
      </c>
    </row>
    <row r="406" spans="1:7" s="12" customFormat="1" ht="15" thickBot="1" x14ac:dyDescent="0.4">
      <c r="A406" s="12" t="s">
        <v>4357</v>
      </c>
      <c r="B406" s="12" t="str">
        <f t="shared" si="7"/>
        <v>Gender diversity ratio in governance body</v>
      </c>
      <c r="C406" s="12" t="s">
        <v>3990</v>
      </c>
      <c r="D406" s="445" t="s">
        <v>6049</v>
      </c>
      <c r="E406" s="445" t="s">
        <v>6434</v>
      </c>
      <c r="F406" s="445" t="s">
        <v>5893</v>
      </c>
      <c r="G406" s="445" t="s">
        <v>5811</v>
      </c>
    </row>
    <row r="407" spans="1:7" s="120" customFormat="1" ht="15" thickBot="1" x14ac:dyDescent="0.4">
      <c r="A407" s="120" t="s">
        <v>4358</v>
      </c>
      <c r="B407" s="120" t="str">
        <f t="shared" si="7"/>
        <v>Disclosure of any other governance and or entity specific governance disclosures</v>
      </c>
      <c r="C407" s="120" t="s">
        <v>4061</v>
      </c>
      <c r="D407" s="481" t="s">
        <v>7156</v>
      </c>
      <c r="E407" s="481" t="s">
        <v>6435</v>
      </c>
      <c r="F407" s="481" t="s">
        <v>7518</v>
      </c>
      <c r="G407" s="481" t="s">
        <v>6777</v>
      </c>
    </row>
    <row r="408" spans="1:7" x14ac:dyDescent="0.35">
      <c r="A408" t="s">
        <v>4543</v>
      </c>
      <c r="B408" t="str">
        <f t="shared" si="7"/>
        <v>FUEL CONVERTER</v>
      </c>
      <c r="C408" t="s">
        <v>2925</v>
      </c>
      <c r="D408" s="90" t="s">
        <v>7157</v>
      </c>
      <c r="E408" s="90" t="s">
        <v>5976</v>
      </c>
      <c r="F408" s="90" t="s">
        <v>5894</v>
      </c>
      <c r="G408" s="90" t="s">
        <v>5812</v>
      </c>
    </row>
    <row r="409" spans="1:7" x14ac:dyDescent="0.35">
      <c r="A409" t="s">
        <v>4544</v>
      </c>
      <c r="B409" t="str">
        <f t="shared" si="7"/>
        <v>DISCLAIMER:</v>
      </c>
      <c r="C409" t="s">
        <v>4534</v>
      </c>
      <c r="D409" s="90" t="s">
        <v>7158</v>
      </c>
      <c r="E409" s="90" t="s">
        <v>6436</v>
      </c>
      <c r="F409" s="90" t="s">
        <v>7519</v>
      </c>
      <c r="G409" s="90" t="s">
        <v>6778</v>
      </c>
    </row>
    <row r="410" spans="1:7" x14ac:dyDescent="0.35">
      <c r="A410" t="s">
        <v>4545</v>
      </c>
      <c r="B410" t="str">
        <f t="shared" si="7"/>
        <v>This converter is intended solely to illustrate how energy consumption (in MWh) can be calculated from various fuel types. EFRAG assumes no responsibility or liability for the content or for any direct, indirect, or incidental consequences or damages resulting from the use of this fuel converter.</v>
      </c>
      <c r="C410" t="s">
        <v>4535</v>
      </c>
      <c r="D410" s="90" t="s">
        <v>7159</v>
      </c>
      <c r="E410" s="90" t="s">
        <v>6437</v>
      </c>
      <c r="F410" s="90" t="s">
        <v>7520</v>
      </c>
      <c r="G410" s="90" t="s">
        <v>6544</v>
      </c>
    </row>
    <row r="411" spans="1:7" x14ac:dyDescent="0.35">
      <c r="A411" t="s">
        <v>4546</v>
      </c>
      <c r="B411" t="str">
        <f t="shared" si="7"/>
        <v>Please note that the typical values for Net Calorific Value (NCV) and Density are provided for each fuel type. However, these parameters may vary depending on factors such as national regulations, specific characteristics of fuel providers, or other circumstances. Therefore, users are expected to manually enter or adjust the NCV and Density values to reflect their specific situation.</v>
      </c>
      <c r="C411" t="s">
        <v>4536</v>
      </c>
      <c r="D411" s="90" t="s">
        <v>7160</v>
      </c>
      <c r="E411" s="90" t="s">
        <v>6438</v>
      </c>
      <c r="F411" s="90" t="s">
        <v>7521</v>
      </c>
      <c r="G411" s="90" t="s">
        <v>6779</v>
      </c>
    </row>
    <row r="412" spans="1:7" x14ac:dyDescent="0.35">
      <c r="A412" t="s">
        <v>4575</v>
      </c>
      <c r="B412" t="str">
        <f t="shared" si="7"/>
        <v>Additionally, users are encouraged to determine the renewability status of each fuel based on Guarantees of Origin, as outlined in Article 19 of the European Directive 2018/2001/EC on the promotion of the use of energy from renewable sources. The default renewability status provided for each fuel is a typical assumption and should be adjusted if necessary, based on geographical or individual circumstances.</v>
      </c>
      <c r="C412" t="s">
        <v>4537</v>
      </c>
      <c r="D412" s="90" t="s">
        <v>7161</v>
      </c>
      <c r="E412" s="90" t="s">
        <v>6439</v>
      </c>
      <c r="F412" s="90" t="s">
        <v>7522</v>
      </c>
      <c r="G412" s="90" t="s">
        <v>6545</v>
      </c>
    </row>
    <row r="413" spans="1:7" x14ac:dyDescent="0.35">
      <c r="A413" t="s">
        <v>4547</v>
      </c>
      <c r="B413" t="str">
        <f t="shared" si="7"/>
        <v>Indicates that the cell should be filled either by selecting a value from the dropdown (e.g. Type of fuel or Unit of Measurement) or by entering an amount.</v>
      </c>
      <c r="C413" t="s">
        <v>3776</v>
      </c>
      <c r="D413" s="90" t="s">
        <v>7162</v>
      </c>
      <c r="E413" s="90" t="s">
        <v>6440</v>
      </c>
      <c r="F413" s="90" t="s">
        <v>7523</v>
      </c>
      <c r="G413" s="90" t="s">
        <v>6780</v>
      </c>
    </row>
    <row r="414" spans="1:7" x14ac:dyDescent="0.35">
      <c r="A414" t="s">
        <v>4548</v>
      </c>
      <c r="B414" t="str">
        <f t="shared" si="7"/>
        <v>Fuel type</v>
      </c>
      <c r="C414" t="s">
        <v>4065</v>
      </c>
      <c r="D414" s="90" t="s">
        <v>7163</v>
      </c>
      <c r="E414" s="90" t="s">
        <v>5977</v>
      </c>
      <c r="F414" s="90" t="s">
        <v>6103</v>
      </c>
      <c r="G414" s="90" t="s">
        <v>5813</v>
      </c>
    </row>
    <row r="415" spans="1:7" x14ac:dyDescent="0.35">
      <c r="A415" t="s">
        <v>4549</v>
      </c>
      <c r="B415" t="str">
        <f t="shared" si="7"/>
        <v>Amount</v>
      </c>
      <c r="C415" t="s">
        <v>3024</v>
      </c>
      <c r="D415" s="90" t="s">
        <v>7164</v>
      </c>
      <c r="E415" s="90" t="s">
        <v>6441</v>
      </c>
      <c r="F415" s="90" t="s">
        <v>5895</v>
      </c>
      <c r="G415" s="90" t="s">
        <v>6781</v>
      </c>
    </row>
    <row r="416" spans="1:7" x14ac:dyDescent="0.35">
      <c r="A416" t="s">
        <v>4550</v>
      </c>
      <c r="B416" t="str">
        <f t="shared" si="7"/>
        <v>State of matter</v>
      </c>
      <c r="C416" t="s">
        <v>3019</v>
      </c>
      <c r="D416" s="90" t="s">
        <v>7165</v>
      </c>
      <c r="E416" s="90" t="s">
        <v>5978</v>
      </c>
      <c r="F416" s="90" t="s">
        <v>5896</v>
      </c>
      <c r="G416" s="90" t="s">
        <v>6782</v>
      </c>
    </row>
    <row r="417" spans="1:7" x14ac:dyDescent="0.35">
      <c r="A417" t="s">
        <v>4551</v>
      </c>
      <c r="B417" t="str">
        <f t="shared" si="7"/>
        <v>Typical renewable state</v>
      </c>
      <c r="C417" t="s">
        <v>4066</v>
      </c>
      <c r="D417" s="90" t="s">
        <v>7166</v>
      </c>
      <c r="E417" s="90" t="s">
        <v>5979</v>
      </c>
      <c r="F417" s="90" t="s">
        <v>5897</v>
      </c>
      <c r="G417" s="90" t="s">
        <v>5814</v>
      </c>
    </row>
    <row r="418" spans="1:7" x14ac:dyDescent="0.35">
      <c r="A418" t="s">
        <v>4552</v>
      </c>
      <c r="B418" t="str">
        <f t="shared" si="7"/>
        <v>Calculated Energy in MWh</v>
      </c>
      <c r="C418" t="s">
        <v>4067</v>
      </c>
      <c r="D418" s="90" t="s">
        <v>7167</v>
      </c>
      <c r="E418" s="90" t="s">
        <v>6085</v>
      </c>
      <c r="F418" s="90" t="s">
        <v>7524</v>
      </c>
      <c r="G418" s="90" t="s">
        <v>5815</v>
      </c>
    </row>
    <row r="419" spans="1:7" x14ac:dyDescent="0.35">
      <c r="A419" t="s">
        <v>4553</v>
      </c>
      <c r="B419" t="str">
        <f t="shared" si="7"/>
        <v>Usage of Fuel Converter:</v>
      </c>
      <c r="C419" t="s">
        <v>3674</v>
      </c>
      <c r="D419" s="90" t="s">
        <v>7168</v>
      </c>
      <c r="E419" s="90" t="s">
        <v>6442</v>
      </c>
      <c r="F419" s="90" t="s">
        <v>7525</v>
      </c>
      <c r="G419" s="90" t="s">
        <v>6783</v>
      </c>
    </row>
    <row r="420" spans="1:7" x14ac:dyDescent="0.35">
      <c r="A420" t="s">
        <v>4576</v>
      </c>
      <c r="B420" t="str">
        <f t="shared" si="7"/>
        <v>1. In cell A9 select the Fuel used, searching for it or scrolling down the list displayed clicking the cell</v>
      </c>
      <c r="C420" t="s">
        <v>4068</v>
      </c>
      <c r="D420" s="90" t="s">
        <v>7169</v>
      </c>
      <c r="E420" s="90" t="s">
        <v>6443</v>
      </c>
      <c r="F420" s="90" t="s">
        <v>7574</v>
      </c>
      <c r="G420" s="90" t="s">
        <v>6784</v>
      </c>
    </row>
    <row r="421" spans="1:7" x14ac:dyDescent="0.35">
      <c r="A421" t="s">
        <v>4554</v>
      </c>
      <c r="B421" t="str">
        <f t="shared" si="7"/>
        <v>2. In cell B9 select the Unit of measurement used</v>
      </c>
      <c r="C421" t="s">
        <v>4069</v>
      </c>
      <c r="D421" s="90" t="s">
        <v>6050</v>
      </c>
      <c r="E421" s="90" t="s">
        <v>6444</v>
      </c>
      <c r="F421" s="90" t="s">
        <v>7573</v>
      </c>
      <c r="G421" s="90" t="s">
        <v>6828</v>
      </c>
    </row>
    <row r="422" spans="1:7" x14ac:dyDescent="0.35">
      <c r="A422" t="s">
        <v>4555</v>
      </c>
      <c r="B422" t="str">
        <f t="shared" si="7"/>
        <v>3. In cell C9 select the Amount of fuel used</v>
      </c>
      <c r="C422" t="s">
        <v>4070</v>
      </c>
      <c r="D422" s="90" t="s">
        <v>7170</v>
      </c>
      <c r="E422" s="90" t="s">
        <v>5980</v>
      </c>
      <c r="F422" s="90" t="s">
        <v>7526</v>
      </c>
      <c r="G422" s="90" t="s">
        <v>6829</v>
      </c>
    </row>
    <row r="423" spans="1:7" x14ac:dyDescent="0.35">
      <c r="A423" t="s">
        <v>4556</v>
      </c>
      <c r="B423" t="str">
        <f t="shared" si="7"/>
        <v>4. In cell D9 it is displayed the State of matter for the Fuel selected</v>
      </c>
      <c r="C423" t="s">
        <v>4072</v>
      </c>
      <c r="D423" s="90" t="s">
        <v>7171</v>
      </c>
      <c r="E423" s="90" t="s">
        <v>5981</v>
      </c>
      <c r="F423" s="90" t="s">
        <v>7527</v>
      </c>
      <c r="G423" s="90" t="s">
        <v>6830</v>
      </c>
    </row>
    <row r="424" spans="1:7" x14ac:dyDescent="0.35">
      <c r="A424" t="s">
        <v>4557</v>
      </c>
      <c r="B424" t="str">
        <f t="shared" si="7"/>
        <v>5. In cell E9 it is displayed the Typical renewability state for the Fuel selected</v>
      </c>
      <c r="C424" t="s">
        <v>4071</v>
      </c>
      <c r="D424" s="90" t="s">
        <v>7172</v>
      </c>
      <c r="E424" s="90" t="s">
        <v>6445</v>
      </c>
      <c r="F424" s="90" t="s">
        <v>7575</v>
      </c>
      <c r="G424" s="90" t="s">
        <v>6831</v>
      </c>
    </row>
    <row r="425" spans="1:7" x14ac:dyDescent="0.35">
      <c r="A425" t="s">
        <v>4558</v>
      </c>
      <c r="B425" t="str">
        <f t="shared" si="7"/>
        <v>6. In cell F9 is displayed the Energy produced in Mega Watt hours by the Amount of Fuel specified</v>
      </c>
      <c r="C425" t="s">
        <v>4073</v>
      </c>
      <c r="D425" s="90" t="s">
        <v>7173</v>
      </c>
      <c r="E425" s="90" t="s">
        <v>6446</v>
      </c>
      <c r="F425" s="90" t="s">
        <v>7576</v>
      </c>
      <c r="G425" s="90" t="s">
        <v>6832</v>
      </c>
    </row>
    <row r="426" spans="1:7" x14ac:dyDescent="0.35">
      <c r="A426" t="s">
        <v>4559</v>
      </c>
      <c r="B426" t="str">
        <f t="shared" si="7"/>
        <v>7. In cell A28 is displayed the Total Energy in Mega Watt hours</v>
      </c>
      <c r="C426" t="s">
        <v>4538</v>
      </c>
      <c r="D426" s="90" t="s">
        <v>7174</v>
      </c>
      <c r="E426" s="90" t="s">
        <v>6086</v>
      </c>
      <c r="F426" s="90" t="s">
        <v>7577</v>
      </c>
      <c r="G426" s="90" t="s">
        <v>6833</v>
      </c>
    </row>
    <row r="427" spans="1:7" x14ac:dyDescent="0.35">
      <c r="A427" t="s">
        <v>4560</v>
      </c>
      <c r="B427" t="str">
        <f t="shared" si="7"/>
        <v>8. In cell A31 is displayed the Total Renewable Energy in Mega Watt hours</v>
      </c>
      <c r="C427" t="s">
        <v>4539</v>
      </c>
      <c r="D427" s="90" t="s">
        <v>7175</v>
      </c>
      <c r="E427" s="90" t="s">
        <v>6087</v>
      </c>
      <c r="F427" s="90" t="s">
        <v>7578</v>
      </c>
      <c r="G427" s="90" t="s">
        <v>6834</v>
      </c>
    </row>
    <row r="428" spans="1:7" x14ac:dyDescent="0.35">
      <c r="A428" t="s">
        <v>4577</v>
      </c>
      <c r="B428" t="str">
        <f t="shared" si="7"/>
        <v>9. In cell B31 is displayed the Total Non-renewable Energy in Mega Watt hours</v>
      </c>
      <c r="C428" t="s">
        <v>4540</v>
      </c>
      <c r="D428" s="90" t="s">
        <v>7176</v>
      </c>
      <c r="E428" s="90" t="s">
        <v>5982</v>
      </c>
      <c r="F428" s="90" t="s">
        <v>7579</v>
      </c>
      <c r="G428" s="90" t="s">
        <v>6835</v>
      </c>
    </row>
    <row r="429" spans="1:7" x14ac:dyDescent="0.35">
      <c r="A429" t="s">
        <v>4561</v>
      </c>
      <c r="B429" t="str">
        <f t="shared" si="7"/>
        <v>10. Further notes can be found below</v>
      </c>
      <c r="C429" t="s">
        <v>4541</v>
      </c>
      <c r="D429" s="90" t="s">
        <v>7177</v>
      </c>
      <c r="E429" s="90" t="s">
        <v>5983</v>
      </c>
      <c r="F429" s="90" t="s">
        <v>7528</v>
      </c>
      <c r="G429" s="477" t="s">
        <v>6836</v>
      </c>
    </row>
    <row r="430" spans="1:7" x14ac:dyDescent="0.35">
      <c r="A430" t="s">
        <v>4562</v>
      </c>
      <c r="B430" t="str">
        <f t="shared" si="7"/>
        <v>Transfer the total calculated results to the B3 "Fuel Energy Consumption" reporting cell</v>
      </c>
      <c r="C430" t="s">
        <v>4639</v>
      </c>
      <c r="D430" s="90" t="s">
        <v>7178</v>
      </c>
      <c r="E430" s="90" t="s">
        <v>6447</v>
      </c>
      <c r="F430" s="90" t="s">
        <v>7529</v>
      </c>
      <c r="G430" s="90" t="s">
        <v>6785</v>
      </c>
    </row>
    <row r="431" spans="1:7" x14ac:dyDescent="0.35">
      <c r="A431" t="s">
        <v>4563</v>
      </c>
      <c r="B431" t="str">
        <f t="shared" si="7"/>
        <v>Total Energy [MWh]</v>
      </c>
      <c r="C431" t="s">
        <v>3562</v>
      </c>
      <c r="D431" s="90" t="s">
        <v>6070</v>
      </c>
      <c r="E431" s="90" t="s">
        <v>6448</v>
      </c>
      <c r="F431" s="90" t="s">
        <v>5898</v>
      </c>
      <c r="G431" s="90" t="s">
        <v>6786</v>
      </c>
    </row>
    <row r="432" spans="1:7" x14ac:dyDescent="0.35">
      <c r="A432" t="s">
        <v>4564</v>
      </c>
      <c r="B432" t="str">
        <f t="shared" si="7"/>
        <v>Total Renewable Energy [MWh]</v>
      </c>
      <c r="C432" t="s">
        <v>3543</v>
      </c>
      <c r="D432" s="90" t="s">
        <v>7179</v>
      </c>
      <c r="E432" s="90" t="s">
        <v>6449</v>
      </c>
      <c r="F432" s="90" t="s">
        <v>7530</v>
      </c>
      <c r="G432" s="90" t="s">
        <v>6787</v>
      </c>
    </row>
    <row r="433" spans="1:7" x14ac:dyDescent="0.35">
      <c r="A433" t="s">
        <v>4578</v>
      </c>
      <c r="B433" t="str">
        <f t="shared" si="7"/>
        <v>Total Non-renewable Energy [MWh]</v>
      </c>
      <c r="C433" t="s">
        <v>3544</v>
      </c>
      <c r="D433" s="90" t="s">
        <v>7180</v>
      </c>
      <c r="E433" s="90" t="s">
        <v>6450</v>
      </c>
      <c r="F433" s="90" t="s">
        <v>7531</v>
      </c>
      <c r="G433" s="90" t="s">
        <v>6788</v>
      </c>
    </row>
    <row r="434" spans="1:7" x14ac:dyDescent="0.35">
      <c r="A434" t="s">
        <v>4565</v>
      </c>
      <c r="B434" t="str">
        <f t="shared" si="7"/>
        <v>Further notes:</v>
      </c>
      <c r="C434" t="s">
        <v>3673</v>
      </c>
      <c r="D434" s="90" t="s">
        <v>7181</v>
      </c>
      <c r="E434" s="90" t="s">
        <v>5984</v>
      </c>
      <c r="F434" s="90" t="s">
        <v>7532</v>
      </c>
      <c r="G434" s="90" t="s">
        <v>5816</v>
      </c>
    </row>
    <row r="435" spans="1:7" s="12" customFormat="1" ht="15" customHeight="1" thickBot="1" x14ac:dyDescent="0.4">
      <c r="A435" s="12" t="s">
        <v>4566</v>
      </c>
      <c r="B435" s="12" t="str">
        <f t="shared" si="7"/>
        <v>The converter offers the possibility of calculating simultaneously up to 10 different types of fuel. To do this please expand the hidden columns using the plus icon on the top of the document.
Each expanded fuel converter works exactly as explained above.
It’s important to note that the automatic calculation performed by the Fuel Converter is done using NCVs and Densities that are typical for that specific type of fuel. If the undertaking is able to provide the specific NCVs and Densities of the Fuels used, there is the possibility to calculate the Energy Consumption per Hour in MWh embedding the specific values in the formulas that are automatized in the Fuel Converter sheet.
Below there are the formulas, just in case the solution of a not-automatized calculation using specific values is preferred to the one of the Converter. If you need to convert the Unit of Measurement of your specific measures, please use the Unit of Measurement Converter.</v>
      </c>
      <c r="C435" s="479" t="s">
        <v>3672</v>
      </c>
      <c r="D435" s="445" t="s">
        <v>7182</v>
      </c>
      <c r="E435" s="445" t="s">
        <v>6451</v>
      </c>
      <c r="F435" s="445" t="s">
        <v>7533</v>
      </c>
      <c r="G435" s="445" t="s">
        <v>6546</v>
      </c>
    </row>
    <row r="436" spans="1:7" x14ac:dyDescent="0.35">
      <c r="A436" t="s">
        <v>4567</v>
      </c>
      <c r="B436" t="str">
        <f t="shared" si="7"/>
        <v>Energy Consumption per Hour in MWh for Solid Fuels:</v>
      </c>
      <c r="C436" t="s">
        <v>4512</v>
      </c>
      <c r="D436" s="90" t="s">
        <v>7183</v>
      </c>
      <c r="E436" s="90" t="s">
        <v>6088</v>
      </c>
      <c r="F436" s="90" t="s">
        <v>7534</v>
      </c>
      <c r="G436" s="90" t="s">
        <v>6109</v>
      </c>
    </row>
    <row r="437" spans="1:7" x14ac:dyDescent="0.35">
      <c r="A437" t="s">
        <v>4568</v>
      </c>
      <c r="B437" t="str">
        <f t="shared" si="7"/>
        <v>Energy [MWh] = Mass [t] * NCV [MWh/t]</v>
      </c>
      <c r="C437" t="s">
        <v>4514</v>
      </c>
      <c r="D437" s="90" t="s">
        <v>7184</v>
      </c>
      <c r="E437" s="90" t="s">
        <v>6452</v>
      </c>
      <c r="F437" s="90" t="s">
        <v>7535</v>
      </c>
      <c r="G437" s="90" t="s">
        <v>6789</v>
      </c>
    </row>
    <row r="438" spans="1:7" x14ac:dyDescent="0.35">
      <c r="A438" t="s">
        <v>4569</v>
      </c>
      <c r="B438" t="str">
        <f t="shared" si="7"/>
        <v>Energy Consumption per Hour in MWh for Liquid Fuels:</v>
      </c>
      <c r="C438" t="s">
        <v>4513</v>
      </c>
      <c r="D438" s="90" t="s">
        <v>7185</v>
      </c>
      <c r="E438" s="90" t="s">
        <v>6453</v>
      </c>
      <c r="F438" s="90" t="s">
        <v>7536</v>
      </c>
      <c r="G438" s="90" t="s">
        <v>5817</v>
      </c>
    </row>
    <row r="439" spans="1:7" x14ac:dyDescent="0.35">
      <c r="A439" t="s">
        <v>4570</v>
      </c>
      <c r="B439" t="str">
        <f t="shared" si="7"/>
        <v>Mass [t] = Volume [L] * Density [t/L]</v>
      </c>
      <c r="C439" t="s">
        <v>4515</v>
      </c>
      <c r="D439" s="90" t="s">
        <v>6051</v>
      </c>
      <c r="E439" s="90" t="s">
        <v>5985</v>
      </c>
      <c r="F439" s="90" t="s">
        <v>5899</v>
      </c>
      <c r="G439" s="90" t="s">
        <v>5818</v>
      </c>
    </row>
    <row r="440" spans="1:7" x14ac:dyDescent="0.35">
      <c r="A440" t="s">
        <v>4571</v>
      </c>
      <c r="B440" t="str">
        <f t="shared" si="7"/>
        <v>Energy [MWh] = Mass [t] * [MWh/t]</v>
      </c>
      <c r="C440" t="s">
        <v>4516</v>
      </c>
      <c r="D440" s="90" t="s">
        <v>7186</v>
      </c>
      <c r="E440" s="90" t="s">
        <v>5986</v>
      </c>
      <c r="F440" s="90" t="s">
        <v>5698</v>
      </c>
      <c r="G440" s="90" t="s">
        <v>5819</v>
      </c>
    </row>
    <row r="441" spans="1:7" x14ac:dyDescent="0.35">
      <c r="A441" t="s">
        <v>4572</v>
      </c>
      <c r="B441" t="str">
        <f t="shared" si="7"/>
        <v>Energy Consumption per Hour in MWh for Gaseous Fuels:</v>
      </c>
      <c r="C441" t="s">
        <v>4517</v>
      </c>
      <c r="D441" s="90" t="s">
        <v>7187</v>
      </c>
      <c r="E441" s="90" t="s">
        <v>5987</v>
      </c>
      <c r="F441" s="90" t="s">
        <v>7537</v>
      </c>
      <c r="G441" s="90" t="s">
        <v>5820</v>
      </c>
    </row>
    <row r="442" spans="1:7" x14ac:dyDescent="0.35">
      <c r="A442" t="s">
        <v>4573</v>
      </c>
      <c r="B442" t="str">
        <f t="shared" si="7"/>
        <v>Mass [t] = Volume [m³] * Density [t/m³]</v>
      </c>
      <c r="C442" t="s">
        <v>4542</v>
      </c>
      <c r="D442" s="90" t="s">
        <v>6071</v>
      </c>
      <c r="E442" s="90" t="s">
        <v>6089</v>
      </c>
      <c r="F442" s="90" t="s">
        <v>6104</v>
      </c>
      <c r="G442" s="90" t="s">
        <v>6110</v>
      </c>
    </row>
    <row r="443" spans="1:7" s="12" customFormat="1" ht="15" thickBot="1" x14ac:dyDescent="0.4">
      <c r="A443" s="12" t="s">
        <v>4574</v>
      </c>
      <c r="B443" s="12" t="str">
        <f t="shared" si="7"/>
        <v>Energy [MWh] = Mass [t] * NCV [MWh/t]</v>
      </c>
      <c r="C443" s="12" t="s">
        <v>4514</v>
      </c>
      <c r="D443" s="445" t="s">
        <v>7184</v>
      </c>
      <c r="E443" s="445" t="s">
        <v>6452</v>
      </c>
      <c r="F443" s="445" t="s">
        <v>7535</v>
      </c>
      <c r="G443" s="445" t="s">
        <v>6790</v>
      </c>
    </row>
    <row r="444" spans="1:7" x14ac:dyDescent="0.35">
      <c r="A444" t="s">
        <v>4585</v>
      </c>
      <c r="B444" t="str">
        <f t="shared" si="7"/>
        <v>UNIT OF MEASUREMENT CONVERTER</v>
      </c>
      <c r="C444" t="s">
        <v>2928</v>
      </c>
      <c r="D444" s="90" t="s">
        <v>7188</v>
      </c>
      <c r="E444" s="90" t="s">
        <v>6454</v>
      </c>
      <c r="F444" s="90" t="s">
        <v>7538</v>
      </c>
      <c r="G444" s="90" t="s">
        <v>5821</v>
      </c>
    </row>
    <row r="445" spans="1:7" x14ac:dyDescent="0.35">
      <c r="A445" t="s">
        <v>4591</v>
      </c>
      <c r="B445" t="str">
        <f t="shared" si="7"/>
        <v xml:space="preserve">From </v>
      </c>
      <c r="C445" t="s">
        <v>4579</v>
      </c>
      <c r="D445" s="90" t="s">
        <v>7189</v>
      </c>
      <c r="E445" s="90" t="s">
        <v>5695</v>
      </c>
      <c r="F445" s="90" t="s">
        <v>5699</v>
      </c>
      <c r="G445" s="90" t="s">
        <v>6791</v>
      </c>
    </row>
    <row r="446" spans="1:7" x14ac:dyDescent="0.35">
      <c r="A446" t="s">
        <v>4586</v>
      </c>
      <c r="B446" t="str">
        <f t="shared" si="7"/>
        <v>Unit of measurement of Mass Converter</v>
      </c>
      <c r="C446" t="s">
        <v>2929</v>
      </c>
      <c r="D446" s="90" t="s">
        <v>7190</v>
      </c>
      <c r="E446" s="90" t="s">
        <v>6455</v>
      </c>
      <c r="F446" s="90" t="s">
        <v>7539</v>
      </c>
      <c r="G446" s="90" t="s">
        <v>6792</v>
      </c>
    </row>
    <row r="447" spans="1:7" x14ac:dyDescent="0.35">
      <c r="A447" t="s">
        <v>4587</v>
      </c>
      <c r="B447" t="str">
        <f t="shared" si="7"/>
        <v>Unit of measurement of Volume Converter</v>
      </c>
      <c r="C447" t="s">
        <v>2931</v>
      </c>
      <c r="D447" s="90" t="s">
        <v>7191</v>
      </c>
      <c r="E447" s="90" t="s">
        <v>6456</v>
      </c>
      <c r="F447" s="90" t="s">
        <v>7540</v>
      </c>
      <c r="G447" s="90" t="s">
        <v>6793</v>
      </c>
    </row>
    <row r="448" spans="1:7" x14ac:dyDescent="0.35">
      <c r="A448" t="s">
        <v>4588</v>
      </c>
      <c r="B448" t="str">
        <f t="shared" si="7"/>
        <v>Unit of measurement of Energy Consumption per Hour</v>
      </c>
      <c r="C448" t="s">
        <v>2932</v>
      </c>
      <c r="D448" s="90" t="s">
        <v>6052</v>
      </c>
      <c r="E448" s="90" t="s">
        <v>5988</v>
      </c>
      <c r="F448" s="90" t="s">
        <v>7541</v>
      </c>
      <c r="G448" s="90" t="s">
        <v>6794</v>
      </c>
    </row>
    <row r="449" spans="1:7" x14ac:dyDescent="0.35">
      <c r="A449" t="s">
        <v>4593</v>
      </c>
      <c r="B449" t="str">
        <f t="shared" si="7"/>
        <v>Unit of measurement of NCV Converter</v>
      </c>
      <c r="C449" t="s">
        <v>2934</v>
      </c>
      <c r="D449" s="90" t="s">
        <v>7192</v>
      </c>
      <c r="E449" s="90" t="s">
        <v>6457</v>
      </c>
      <c r="F449" s="90" t="s">
        <v>5900</v>
      </c>
      <c r="G449" s="90" t="s">
        <v>5822</v>
      </c>
    </row>
    <row r="450" spans="1:7" x14ac:dyDescent="0.35">
      <c r="A450" t="s">
        <v>4599</v>
      </c>
      <c r="B450" t="str">
        <f t="shared" si="7"/>
        <v>Unit of measurement of Density Converter</v>
      </c>
      <c r="C450" t="s">
        <v>2933</v>
      </c>
      <c r="D450" s="90" t="s">
        <v>7193</v>
      </c>
      <c r="E450" s="90" t="s">
        <v>6458</v>
      </c>
      <c r="F450" s="90" t="s">
        <v>7542</v>
      </c>
      <c r="G450" s="90" t="s">
        <v>6795</v>
      </c>
    </row>
    <row r="451" spans="1:7" x14ac:dyDescent="0.35">
      <c r="A451" t="s">
        <v>4589</v>
      </c>
      <c r="B451" t="str">
        <f t="shared" si="7"/>
        <v>Usage of Unit of Measurement Converter</v>
      </c>
      <c r="C451" t="s">
        <v>4518</v>
      </c>
      <c r="D451" s="90" t="s">
        <v>7194</v>
      </c>
      <c r="E451" s="90" t="s">
        <v>6459</v>
      </c>
      <c r="F451" s="90" t="s">
        <v>7543</v>
      </c>
      <c r="G451" s="90" t="s">
        <v>6796</v>
      </c>
    </row>
    <row r="452" spans="1:7" x14ac:dyDescent="0.35">
      <c r="A452" t="s">
        <v>4590</v>
      </c>
      <c r="B452" t="str">
        <f t="shared" ref="B452:B490" si="8">INDEX(C452:G452,MATCH(template_selected_display_language,$C$3:$G$3,0))</f>
        <v>Steps to follow for the Mass table:</v>
      </c>
      <c r="C452" t="s">
        <v>4519</v>
      </c>
      <c r="D452" s="90" t="s">
        <v>7195</v>
      </c>
      <c r="E452" s="90" t="s">
        <v>6460</v>
      </c>
      <c r="F452" s="90" t="s">
        <v>7544</v>
      </c>
      <c r="G452" s="90" t="s">
        <v>6797</v>
      </c>
    </row>
    <row r="453" spans="1:7" x14ac:dyDescent="0.35">
      <c r="A453" t="s">
        <v>4598</v>
      </c>
      <c r="B453" t="str">
        <f t="shared" si="8"/>
        <v>1. In the cell B5 of the table related to the Unit of measurement of Mass Converter should be inserted the Unit of measurement to convert.</v>
      </c>
      <c r="C453" t="s">
        <v>4533</v>
      </c>
      <c r="D453" s="90" t="s">
        <v>7196</v>
      </c>
      <c r="E453" s="90" t="s">
        <v>6461</v>
      </c>
      <c r="F453" s="90" t="s">
        <v>7572</v>
      </c>
      <c r="G453" s="90" t="s">
        <v>6798</v>
      </c>
    </row>
    <row r="454" spans="1:7" x14ac:dyDescent="0.35">
      <c r="A454" t="s">
        <v>4594</v>
      </c>
      <c r="B454" t="str">
        <f t="shared" si="8"/>
        <v>2. Then in the cell B6 the amount of mass can be inserted.</v>
      </c>
      <c r="C454" t="s">
        <v>4531</v>
      </c>
      <c r="D454" s="90" t="s">
        <v>7197</v>
      </c>
      <c r="E454" s="90" t="s">
        <v>5989</v>
      </c>
      <c r="F454" s="90" t="s">
        <v>7571</v>
      </c>
      <c r="G454" s="90" t="s">
        <v>6799</v>
      </c>
    </row>
    <row r="455" spans="1:7" x14ac:dyDescent="0.35">
      <c r="A455" t="s">
        <v>4595</v>
      </c>
      <c r="B455" t="str">
        <f t="shared" si="8"/>
        <v>3. Finally in the cell D5 there should be the unit of measurement of interest.</v>
      </c>
      <c r="C455" t="s">
        <v>4532</v>
      </c>
      <c r="D455" s="90" t="s">
        <v>7198</v>
      </c>
      <c r="E455" s="90" t="s">
        <v>6462</v>
      </c>
      <c r="F455" s="90" t="s">
        <v>7570</v>
      </c>
      <c r="G455" s="90" t="s">
        <v>6800</v>
      </c>
    </row>
    <row r="456" spans="1:7" x14ac:dyDescent="0.35">
      <c r="A456" t="s">
        <v>4596</v>
      </c>
      <c r="B456" t="str">
        <f t="shared" si="8"/>
        <v>4. The outcome of the conversion will be displayed in the cell D6.</v>
      </c>
      <c r="C456" t="s">
        <v>4530</v>
      </c>
      <c r="D456" s="90" t="s">
        <v>7199</v>
      </c>
      <c r="E456" s="90" t="s">
        <v>5990</v>
      </c>
      <c r="F456" s="90" t="s">
        <v>5901</v>
      </c>
      <c r="G456" s="90" t="s">
        <v>6801</v>
      </c>
    </row>
    <row r="457" spans="1:7" x14ac:dyDescent="0.35">
      <c r="A457" t="s">
        <v>4597</v>
      </c>
      <c r="B457" t="str">
        <f t="shared" si="8"/>
        <v>The steps to follow for the other tables (Volume, Energy Consumption, Density and NCV) are the same of the Mass table.</v>
      </c>
      <c r="C457" t="s">
        <v>4520</v>
      </c>
      <c r="D457" s="90" t="s">
        <v>7200</v>
      </c>
      <c r="E457" s="90" t="s">
        <v>6463</v>
      </c>
      <c r="F457" s="90" t="s">
        <v>7545</v>
      </c>
      <c r="G457" s="90" t="s">
        <v>6802</v>
      </c>
    </row>
    <row r="458" spans="1:7" x14ac:dyDescent="0.35">
      <c r="A458" t="s">
        <v>4592</v>
      </c>
      <c r="B458" t="str">
        <f t="shared" si="8"/>
        <v>Below are specified all the Units of measurement conversions of each table.</v>
      </c>
      <c r="C458" t="s">
        <v>4521</v>
      </c>
      <c r="D458" s="90" t="s">
        <v>7201</v>
      </c>
      <c r="E458" s="90" t="s">
        <v>6464</v>
      </c>
      <c r="F458" s="90" t="s">
        <v>7546</v>
      </c>
      <c r="G458" s="90" t="s">
        <v>5823</v>
      </c>
    </row>
    <row r="459" spans="1:7" x14ac:dyDescent="0.35">
      <c r="A459" t="s">
        <v>4604</v>
      </c>
      <c r="B459" t="str">
        <f t="shared" si="8"/>
        <v>▪ Unit of measurement of Mass Converter:</v>
      </c>
      <c r="C459" t="s">
        <v>4580</v>
      </c>
      <c r="D459" s="90" t="s">
        <v>7190</v>
      </c>
      <c r="E459" s="90" t="s">
        <v>6465</v>
      </c>
      <c r="F459" s="90" t="s">
        <v>5902</v>
      </c>
      <c r="G459" s="90" t="s">
        <v>6803</v>
      </c>
    </row>
    <row r="460" spans="1:7" x14ac:dyDescent="0.35">
      <c r="A460" t="s">
        <v>4603</v>
      </c>
      <c r="B460" t="str">
        <f t="shared" si="8"/>
        <v>▪ Unit of measurement of Volume Converter:</v>
      </c>
      <c r="C460" t="s">
        <v>4581</v>
      </c>
      <c r="D460" s="90" t="s">
        <v>7191</v>
      </c>
      <c r="E460" s="90" t="s">
        <v>6466</v>
      </c>
      <c r="F460" s="90" t="s">
        <v>7569</v>
      </c>
      <c r="G460" s="90" t="s">
        <v>6804</v>
      </c>
    </row>
    <row r="461" spans="1:7" x14ac:dyDescent="0.35">
      <c r="A461" t="s">
        <v>4602</v>
      </c>
      <c r="B461" t="str">
        <f t="shared" si="8"/>
        <v>▪ Unit of measurement of Energy Converter:</v>
      </c>
      <c r="C461" t="s">
        <v>4582</v>
      </c>
      <c r="D461" s="90" t="s">
        <v>7202</v>
      </c>
      <c r="E461" s="90" t="s">
        <v>6467</v>
      </c>
      <c r="F461" s="90" t="s">
        <v>7568</v>
      </c>
      <c r="G461" s="90" t="s">
        <v>6805</v>
      </c>
    </row>
    <row r="462" spans="1:7" x14ac:dyDescent="0.35">
      <c r="A462" t="s">
        <v>4601</v>
      </c>
      <c r="B462" t="str">
        <f t="shared" si="8"/>
        <v>▪ Unit of measurement of Density Converter:</v>
      </c>
      <c r="C462" t="s">
        <v>4583</v>
      </c>
      <c r="D462" s="90" t="s">
        <v>7193</v>
      </c>
      <c r="E462" s="90" t="s">
        <v>6468</v>
      </c>
      <c r="F462" s="90" t="s">
        <v>7547</v>
      </c>
      <c r="G462" s="90" t="s">
        <v>6806</v>
      </c>
    </row>
    <row r="463" spans="1:7" s="12" customFormat="1" ht="15" thickBot="1" x14ac:dyDescent="0.4">
      <c r="A463" s="12" t="s">
        <v>4600</v>
      </c>
      <c r="B463" s="12" t="str">
        <f t="shared" si="8"/>
        <v>▪ Unit of measurement of NCV Converter:</v>
      </c>
      <c r="C463" s="12" t="s">
        <v>4584</v>
      </c>
      <c r="D463" s="445" t="s">
        <v>7192</v>
      </c>
      <c r="E463" s="445" t="s">
        <v>6469</v>
      </c>
      <c r="F463" s="445" t="s">
        <v>7548</v>
      </c>
      <c r="G463" s="445" t="s">
        <v>6807</v>
      </c>
    </row>
    <row r="464" spans="1:7" x14ac:dyDescent="0.35">
      <c r="A464" t="s">
        <v>4607</v>
      </c>
      <c r="B464" t="str">
        <f t="shared" si="8"/>
        <v>INCOMPLETE</v>
      </c>
      <c r="C464" t="s">
        <v>4605</v>
      </c>
      <c r="D464" s="90" t="s">
        <v>7203</v>
      </c>
      <c r="E464" s="90" t="s">
        <v>6470</v>
      </c>
      <c r="F464" s="90" t="s">
        <v>5702</v>
      </c>
      <c r="G464" s="90" t="s">
        <v>5702</v>
      </c>
    </row>
    <row r="465" spans="1:7" x14ac:dyDescent="0.35">
      <c r="A465" t="s">
        <v>4608</v>
      </c>
      <c r="B465" t="str">
        <f t="shared" si="8"/>
        <v>COMPLETE</v>
      </c>
      <c r="C465" t="s">
        <v>4606</v>
      </c>
      <c r="D465" s="90" t="s">
        <v>7204</v>
      </c>
      <c r="E465" s="90" t="s">
        <v>6471</v>
      </c>
      <c r="F465" s="90" t="s">
        <v>5703</v>
      </c>
      <c r="G465" s="90" t="s">
        <v>5703</v>
      </c>
    </row>
    <row r="466" spans="1:7" x14ac:dyDescent="0.35">
      <c r="A466" t="s">
        <v>4620</v>
      </c>
      <c r="B466" t="str">
        <f t="shared" si="8"/>
        <v>MISSING VALUE</v>
      </c>
      <c r="C466" t="s">
        <v>4609</v>
      </c>
      <c r="D466" s="90" t="s">
        <v>7205</v>
      </c>
      <c r="E466" s="90" t="s">
        <v>6472</v>
      </c>
      <c r="F466" s="90" t="s">
        <v>7549</v>
      </c>
      <c r="G466" s="90" t="s">
        <v>6525</v>
      </c>
    </row>
    <row r="467" spans="1:7" x14ac:dyDescent="0.35">
      <c r="A467" t="s">
        <v>4621</v>
      </c>
      <c r="B467" t="str">
        <f t="shared" si="8"/>
        <v>ERROR</v>
      </c>
      <c r="C467" t="s">
        <v>4610</v>
      </c>
      <c r="D467" s="90" t="s">
        <v>6053</v>
      </c>
      <c r="E467" s="90" t="s">
        <v>5991</v>
      </c>
      <c r="F467" s="90" t="s">
        <v>5903</v>
      </c>
      <c r="G467" s="90" t="s">
        <v>4610</v>
      </c>
    </row>
    <row r="468" spans="1:7" x14ac:dyDescent="0.35">
      <c r="A468" t="s">
        <v>4622</v>
      </c>
      <c r="B468" t="str">
        <f t="shared" si="8"/>
        <v>VALUE INCONSISTENCY</v>
      </c>
      <c r="C468" t="s">
        <v>4611</v>
      </c>
      <c r="D468" s="90" t="s">
        <v>7206</v>
      </c>
      <c r="E468" s="90" t="s">
        <v>5992</v>
      </c>
      <c r="F468" s="90" t="s">
        <v>7550</v>
      </c>
      <c r="G468" s="90" t="s">
        <v>5824</v>
      </c>
    </row>
    <row r="469" spans="1:7" x14ac:dyDescent="0.35">
      <c r="A469" t="s">
        <v>4624</v>
      </c>
      <c r="B469" t="str">
        <f t="shared" si="8"/>
        <v>ERROR + VALUE INCONSISTENCY</v>
      </c>
      <c r="C469" t="s">
        <v>4612</v>
      </c>
      <c r="D469" s="90" t="s">
        <v>7207</v>
      </c>
      <c r="E469" s="90" t="s">
        <v>5993</v>
      </c>
      <c r="F469" s="90" t="s">
        <v>5904</v>
      </c>
      <c r="G469" s="90" t="s">
        <v>6526</v>
      </c>
    </row>
    <row r="470" spans="1:7" x14ac:dyDescent="0.35">
      <c r="A470" t="s">
        <v>4625</v>
      </c>
      <c r="B470" t="str">
        <f t="shared" si="8"/>
        <v>ERROR + MISSING VALUE + VALUE INCONSISTENCY</v>
      </c>
      <c r="C470" t="s">
        <v>4613</v>
      </c>
      <c r="D470" s="90" t="s">
        <v>7208</v>
      </c>
      <c r="E470" s="90" t="s">
        <v>6473</v>
      </c>
      <c r="F470" s="90" t="s">
        <v>7551</v>
      </c>
      <c r="G470" s="90" t="s">
        <v>6527</v>
      </c>
    </row>
    <row r="471" spans="1:7" x14ac:dyDescent="0.35">
      <c r="A471" t="s">
        <v>4626</v>
      </c>
      <c r="B471" t="str">
        <f t="shared" si="8"/>
        <v>ERROR + MISSING VALUE</v>
      </c>
      <c r="C471" t="s">
        <v>4614</v>
      </c>
      <c r="D471" s="90" t="s">
        <v>7209</v>
      </c>
      <c r="E471" s="90" t="s">
        <v>6474</v>
      </c>
      <c r="F471" s="90" t="s">
        <v>7552</v>
      </c>
      <c r="G471" s="90" t="s">
        <v>6528</v>
      </c>
    </row>
    <row r="472" spans="1:7" x14ac:dyDescent="0.35">
      <c r="A472" t="s">
        <v>4627</v>
      </c>
      <c r="B472" t="str">
        <f t="shared" si="8"/>
        <v>MISSING VALUE + VALUE INCONSISTENCY</v>
      </c>
      <c r="C472" t="s">
        <v>4615</v>
      </c>
      <c r="D472" s="90" t="s">
        <v>7210</v>
      </c>
      <c r="E472" s="90" t="s">
        <v>6475</v>
      </c>
      <c r="F472" s="90" t="s">
        <v>7553</v>
      </c>
      <c r="G472" s="90" t="s">
        <v>6529</v>
      </c>
    </row>
    <row r="473" spans="1:7" x14ac:dyDescent="0.35">
      <c r="A473" t="s">
        <v>4623</v>
      </c>
      <c r="B473" t="str">
        <f t="shared" si="8"/>
        <v>INVALID URL</v>
      </c>
      <c r="C473" t="s">
        <v>4616</v>
      </c>
      <c r="D473" s="90" t="s">
        <v>7211</v>
      </c>
      <c r="E473" s="90" t="s">
        <v>6476</v>
      </c>
      <c r="F473" s="90" t="s">
        <v>5905</v>
      </c>
      <c r="G473" s="90" t="s">
        <v>6808</v>
      </c>
    </row>
    <row r="474" spans="1:7" x14ac:dyDescent="0.35">
      <c r="A474" t="s">
        <v>5637</v>
      </c>
      <c r="B474" t="str">
        <f t="shared" si="8"/>
        <v>OK</v>
      </c>
      <c r="C474" t="s">
        <v>5636</v>
      </c>
      <c r="D474" s="90" t="s">
        <v>7212</v>
      </c>
      <c r="E474" s="90" t="s">
        <v>5636</v>
      </c>
      <c r="F474" s="90" t="s">
        <v>5636</v>
      </c>
      <c r="G474" s="90" t="s">
        <v>6827</v>
      </c>
    </row>
    <row r="475" spans="1:7" x14ac:dyDescent="0.35">
      <c r="A475" t="s">
        <v>5640</v>
      </c>
      <c r="B475" t="str">
        <f t="shared" si="8"/>
        <v>ℹ️ Liquid fuel: please select one unit of measurement among m³ and L</v>
      </c>
      <c r="C475" t="s">
        <v>6119</v>
      </c>
      <c r="D475" s="90" t="s">
        <v>7213</v>
      </c>
      <c r="E475" s="90" t="s">
        <v>6477</v>
      </c>
      <c r="F475" s="90" t="s">
        <v>6136</v>
      </c>
      <c r="G475" s="90" t="s">
        <v>6809</v>
      </c>
    </row>
    <row r="476" spans="1:7" x14ac:dyDescent="0.35">
      <c r="A476" t="s">
        <v>5638</v>
      </c>
      <c r="B476" t="str">
        <f t="shared" si="8"/>
        <v>ℹ️ Solid fuel: please select one unit of measurement among Gg, t, Kg and g</v>
      </c>
      <c r="C476" t="s">
        <v>6120</v>
      </c>
      <c r="D476" s="90" t="s">
        <v>7214</v>
      </c>
      <c r="E476" s="90" t="s">
        <v>6134</v>
      </c>
      <c r="F476" s="90" t="s">
        <v>7567</v>
      </c>
      <c r="G476" s="90" t="s">
        <v>6137</v>
      </c>
    </row>
    <row r="477" spans="1:7" x14ac:dyDescent="0.35">
      <c r="A477" t="s">
        <v>5639</v>
      </c>
      <c r="B477" t="str">
        <f t="shared" si="8"/>
        <v>ℹ️ Gaseous fuel: please select one unit of measurement among m³ and L</v>
      </c>
      <c r="C477" t="s">
        <v>6121</v>
      </c>
      <c r="D477" s="90" t="s">
        <v>7215</v>
      </c>
      <c r="E477" s="90" t="s">
        <v>6135</v>
      </c>
      <c r="F477" s="90" t="s">
        <v>7554</v>
      </c>
      <c r="G477" s="90" t="s">
        <v>6138</v>
      </c>
    </row>
    <row r="478" spans="1:7" x14ac:dyDescent="0.35">
      <c r="A478" t="s">
        <v>5675</v>
      </c>
      <c r="B478" t="str">
        <f t="shared" si="8"/>
        <v xml:space="preserve">ℹ️  The entity identifier is a unique ID, that will enable identifying the company that has reported the information. The VSME Standard does not require any specific identifier. An entity identifier is required for the digital reporting. </v>
      </c>
      <c r="C478" t="s">
        <v>6122</v>
      </c>
      <c r="D478" s="90" t="s">
        <v>7216</v>
      </c>
      <c r="E478" s="90" t="s">
        <v>6478</v>
      </c>
      <c r="F478" s="90" t="s">
        <v>7555</v>
      </c>
      <c r="G478" s="90" t="s">
        <v>6810</v>
      </c>
    </row>
    <row r="479" spans="1:7" x14ac:dyDescent="0.35">
      <c r="A479" t="s">
        <v>5676</v>
      </c>
      <c r="B479" t="str">
        <f t="shared" si="8"/>
        <v>ℹ️ If VALUE INCONSISTENCY message appears on the right, please ensure that the reporting period end date is greater than the reporting period start date.</v>
      </c>
      <c r="C479" t="s">
        <v>6123</v>
      </c>
      <c r="D479" s="90" t="s">
        <v>7217</v>
      </c>
      <c r="E479" s="90" t="s">
        <v>6479</v>
      </c>
      <c r="F479" s="90" t="s">
        <v>7556</v>
      </c>
      <c r="G479" s="90" t="s">
        <v>6811</v>
      </c>
    </row>
    <row r="480" spans="1:7" x14ac:dyDescent="0.35">
      <c r="A480" t="s">
        <v>5677</v>
      </c>
      <c r="B480" t="str">
        <f t="shared" si="8"/>
        <v>ℹ️  Lists can be expanded using the little [+] button on the left.  If the number of rows is not sufficient, those can be added by right clicking the second row and selecting "Insert row".</v>
      </c>
      <c r="C480" t="s">
        <v>6124</v>
      </c>
      <c r="D480" s="90" t="s">
        <v>7218</v>
      </c>
      <c r="E480" s="90" t="s">
        <v>6480</v>
      </c>
      <c r="F480" s="90" t="s">
        <v>7557</v>
      </c>
      <c r="G480" s="90" t="s">
        <v>6812</v>
      </c>
    </row>
    <row r="481" spans="1:7" x14ac:dyDescent="0.35">
      <c r="A481" t="s">
        <v>5678</v>
      </c>
      <c r="B481" t="str">
        <f t="shared" si="8"/>
        <v>ℹ️ When "other" is chosen as undertaking legal form please fill the row below</v>
      </c>
      <c r="C481" t="s">
        <v>6125</v>
      </c>
      <c r="D481" s="90" t="s">
        <v>7219</v>
      </c>
      <c r="E481" s="90" t="s">
        <v>6481</v>
      </c>
      <c r="F481" s="90" t="s">
        <v>7558</v>
      </c>
      <c r="G481" s="90" t="s">
        <v>6813</v>
      </c>
    </row>
    <row r="482" spans="1:7" x14ac:dyDescent="0.35">
      <c r="A482" t="s">
        <v>5679</v>
      </c>
      <c r="B482" t="str">
        <f t="shared" si="8"/>
        <v>ℹ️  Please select a NACE code rather than a category else an ERROR message will appear.</v>
      </c>
      <c r="C482" t="s">
        <v>6126</v>
      </c>
      <c r="D482" s="90" t="s">
        <v>7220</v>
      </c>
      <c r="E482" s="90" t="s">
        <v>6482</v>
      </c>
      <c r="F482" s="90" t="s">
        <v>7559</v>
      </c>
      <c r="G482" s="90" t="s">
        <v>6825</v>
      </c>
    </row>
    <row r="483" spans="1:7" x14ac:dyDescent="0.35">
      <c r="A483" t="s">
        <v>5680</v>
      </c>
      <c r="B483" t="str">
        <f t="shared" si="8"/>
        <v>ℹ️  Please be careful to separate each street number and house number using the slash symbol "/" and not the comma ","</v>
      </c>
      <c r="C483" t="s">
        <v>6127</v>
      </c>
      <c r="D483" s="90" t="s">
        <v>7221</v>
      </c>
      <c r="E483" s="90" t="s">
        <v>6483</v>
      </c>
      <c r="F483" s="90" t="s">
        <v>7560</v>
      </c>
      <c r="G483" s="90" t="s">
        <v>6814</v>
      </c>
    </row>
    <row r="484" spans="1:7" x14ac:dyDescent="0.35">
      <c r="A484" t="s">
        <v>5681</v>
      </c>
      <c r="B484" t="str">
        <f t="shared" si="8"/>
        <v xml:space="preserve">ℹ️  Please note that the formula present in this cell may be overwritten in case the undertaking wants to directly provide the value. </v>
      </c>
      <c r="C484" t="s">
        <v>6128</v>
      </c>
      <c r="D484" s="90" t="s">
        <v>7222</v>
      </c>
      <c r="E484" s="90" t="s">
        <v>6484</v>
      </c>
      <c r="F484" s="90" t="s">
        <v>7561</v>
      </c>
      <c r="G484" s="90" t="s">
        <v>6815</v>
      </c>
    </row>
    <row r="485" spans="1:7" x14ac:dyDescent="0.35">
      <c r="A485" t="s">
        <v>5682</v>
      </c>
      <c r="B485" t="str">
        <f t="shared" si="8"/>
        <v>ℹ️  Scope 3 categories according to the GHG protocol might help to calculate the total Scope 3 GHG emissions. In case the undertaking wants to, it can directly provide the Total Scope 3 GHG emissions in the respective cell.</v>
      </c>
      <c r="C485" t="s">
        <v>6129</v>
      </c>
      <c r="D485" s="90" t="s">
        <v>7223</v>
      </c>
      <c r="E485" s="90" t="s">
        <v>6485</v>
      </c>
      <c r="F485" s="90" t="s">
        <v>7562</v>
      </c>
      <c r="G485" s="90" t="s">
        <v>6816</v>
      </c>
    </row>
    <row r="486" spans="1:7" x14ac:dyDescent="0.35">
      <c r="A486" t="s">
        <v>5683</v>
      </c>
      <c r="B486" t="str">
        <f t="shared" si="8"/>
        <v>ℹ️  If a validation related to value inconsistency is displayed, please select a site ID that is different from one of those previously selected.</v>
      </c>
      <c r="C486" t="s">
        <v>6130</v>
      </c>
      <c r="D486" s="90" t="s">
        <v>7224</v>
      </c>
      <c r="E486" s="90" t="s">
        <v>6486</v>
      </c>
      <c r="F486" s="90" t="s">
        <v>7563</v>
      </c>
      <c r="G486" s="90" t="s">
        <v>6817</v>
      </c>
    </row>
    <row r="487" spans="1:7" x14ac:dyDescent="0.35">
      <c r="A487" t="s">
        <v>5684</v>
      </c>
      <c r="B487" t="str">
        <f t="shared" si="8"/>
        <v>ℹ️  Please select a Type of waste (Hazardous or Non-Hazardous) rather than a category else an ERROR message will appear.</v>
      </c>
      <c r="C487" t="s">
        <v>6131</v>
      </c>
      <c r="D487" s="90" t="s">
        <v>7225</v>
      </c>
      <c r="E487" s="90" t="s">
        <v>6487</v>
      </c>
      <c r="F487" s="90" t="s">
        <v>7564</v>
      </c>
      <c r="G487" s="90" t="s">
        <v>6826</v>
      </c>
    </row>
    <row r="488" spans="1:7" ht="43.5" x14ac:dyDescent="0.35">
      <c r="A488" t="s">
        <v>5685</v>
      </c>
      <c r="B488" t="str">
        <f t="shared" si="8"/>
        <v xml:space="preserve">ℹ️  Please make sure that the total number of employees is the same as the one provided in the "General Information" sheet cell E55
</v>
      </c>
      <c r="C488" t="s">
        <v>6132</v>
      </c>
      <c r="D488" s="477" t="s">
        <v>7226</v>
      </c>
      <c r="E488" s="477" t="s">
        <v>6488</v>
      </c>
      <c r="F488" s="477" t="s">
        <v>7565</v>
      </c>
      <c r="G488" s="477" t="s">
        <v>6818</v>
      </c>
    </row>
    <row r="489" spans="1:7" x14ac:dyDescent="0.35">
      <c r="A489" t="s">
        <v>5686</v>
      </c>
      <c r="B489" t="str">
        <f t="shared" si="8"/>
        <v>ℹ️  The undertaking can modify the value in this cell as 2,000 hours is based on the assumption that one full-time worker works 2,000 hours per year. This figure may vary by country or sector, depending on national rules or collective bargaining agreements.</v>
      </c>
      <c r="C489" t="s">
        <v>6133</v>
      </c>
      <c r="D489" s="90" t="s">
        <v>7227</v>
      </c>
      <c r="E489" s="90" t="s">
        <v>6489</v>
      </c>
      <c r="F489" s="90" t="s">
        <v>7566</v>
      </c>
      <c r="G489" s="90" t="s">
        <v>6819</v>
      </c>
    </row>
    <row r="490" spans="1:7" x14ac:dyDescent="0.35">
      <c r="A490" t="s">
        <v>7607</v>
      </c>
      <c r="B490" t="str">
        <f t="shared" si="8"/>
        <v>ℹ️ Check EFRAG website for a non-exhaustive list of GHG calculators.</v>
      </c>
      <c r="C490" t="s">
        <v>7608</v>
      </c>
      <c r="D490" t="s">
        <v>7609</v>
      </c>
      <c r="E490" t="s">
        <v>7610</v>
      </c>
      <c r="F490" t="s">
        <v>7611</v>
      </c>
      <c r="G490" t="s">
        <v>7612</v>
      </c>
    </row>
  </sheetData>
  <sheetProtection algorithmName="SHA-512" hashValue="RaF4eob9W2wdAfxOFz5I+t/4s7o9sdUFIIrMl3fXvvLLkkMsteNNvFLuUVjy5E7k2DBudwJXlCVBtfu37gbCgw==" saltValue="zf5Lgr1SaQzan9lnXq+0QQ==" spinCount="100000" sheet="1" objects="1" scenarios="1"/>
  <autoFilter ref="A1:B407" xr:uid="{DA085A03-4878-4426-A2CC-5DD7C0041933}"/>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F552C-077B-4406-AA24-E9FFBE74BCD2}">
  <sheetPr codeName="Sheet10"/>
  <dimension ref="A1:G26"/>
  <sheetViews>
    <sheetView workbookViewId="0"/>
  </sheetViews>
  <sheetFormatPr defaultColWidth="8.90625" defaultRowHeight="14.5" x14ac:dyDescent="0.35"/>
  <cols>
    <col min="1" max="1" width="21.36328125" bestFit="1" customWidth="1"/>
    <col min="2" max="2" width="59.6328125" bestFit="1" customWidth="1"/>
    <col min="3" max="3" width="31.36328125" bestFit="1" customWidth="1"/>
    <col min="4" max="4" width="89" customWidth="1"/>
    <col min="5" max="5" width="35.90625" customWidth="1"/>
    <col min="6" max="6" width="26.6328125" customWidth="1"/>
    <col min="7" max="7" width="44.36328125" bestFit="1" customWidth="1"/>
  </cols>
  <sheetData>
    <row r="1" spans="1:7" x14ac:dyDescent="0.35">
      <c r="A1" t="s">
        <v>3061</v>
      </c>
      <c r="B1" t="str">
        <f>template_reporting_period_startdate &amp; " - " &amp; template_reporting_period_enddate</f>
        <v>- - -</v>
      </c>
      <c r="C1" t="s">
        <v>4360</v>
      </c>
      <c r="D1" t="s">
        <v>3556</v>
      </c>
      <c r="E1" t="s">
        <v>3557</v>
      </c>
      <c r="F1" t="s">
        <v>3558</v>
      </c>
      <c r="G1" t="s">
        <v>3559</v>
      </c>
    </row>
    <row r="2" spans="1:7" ht="14" customHeight="1" x14ac:dyDescent="0.35">
      <c r="A2" t="s">
        <v>4374</v>
      </c>
      <c r="B2" t="str">
        <f>template_reporting_period_startdate</f>
        <v>-</v>
      </c>
      <c r="C2" t="s">
        <v>4375</v>
      </c>
      <c r="D2" s="315" t="str">
        <f>IF(AND('General Information'!$H$108=TRUE, 'General Information'!D109&lt;&gt;"", 'General Information'!E109&lt;&gt;"", 'General Information'!F109&lt;&gt;"", 'General Information'!G109&lt;&gt;""), _xlfn.WEBSERVICE("https://nominatim.openstreetmap.org/search?q=" &amp; 'General Information'!K109 &amp; "&amp;format=json&amp;polygon=1&amp;addressdetails=1"), "")</f>
        <v/>
      </c>
      <c r="E2" s="316" t="e">
        <f t="shared" ref="E2:E26" si="0">MID(D2,SEARCH("""lat"":""",D2)+7,SEARCH("""lon"":""",D2)-SEARCH("""lat"":""",D2)-9)</f>
        <v>#VALUE!</v>
      </c>
      <c r="F2" s="316" t="e">
        <f t="shared" ref="F2:F26" si="1">MID(D2, SEARCH("""lon"":""", D2) + 7, SEARCH("""class""", D2) - SEARCH("""lon"":""", D2) - 9)</f>
        <v>#VALUE!</v>
      </c>
      <c r="G2" t="e">
        <f t="shared" ref="G2:G26" si="2">E2 &amp; "," &amp; F2</f>
        <v>#VALUE!</v>
      </c>
    </row>
    <row r="3" spans="1:7" ht="15.65" customHeight="1" x14ac:dyDescent="0.35">
      <c r="A3" t="s">
        <v>3062</v>
      </c>
      <c r="B3" t="str">
        <f>template_reporting_period_enddate</f>
        <v>-</v>
      </c>
      <c r="C3" t="s">
        <v>4359</v>
      </c>
      <c r="D3" s="315" t="str">
        <f>IF(AND('General Information'!$H$108=TRUE, 'General Information'!D110&lt;&gt;"", 'General Information'!E110&lt;&gt;"", 'General Information'!F110&lt;&gt;"", 'General Information'!G110&lt;&gt;""), _xlfn.WEBSERVICE("https://nominatim.openstreetmap.org/search?q=" &amp; 'General Information'!K110 &amp; "&amp;format=json&amp;polygon=1&amp;addressdetails=1"), "")</f>
        <v/>
      </c>
      <c r="E3" s="316" t="e">
        <f t="shared" si="0"/>
        <v>#VALUE!</v>
      </c>
      <c r="F3" s="316" t="e">
        <f t="shared" si="1"/>
        <v>#VALUE!</v>
      </c>
      <c r="G3" t="e">
        <f t="shared" si="2"/>
        <v>#VALUE!</v>
      </c>
    </row>
    <row r="4" spans="1:7" x14ac:dyDescent="0.35">
      <c r="D4" s="315" t="str">
        <f>IF(AND('General Information'!$H$108=TRUE, 'General Information'!D111&lt;&gt;"", 'General Information'!E111&lt;&gt;"", 'General Information'!F111&lt;&gt;"", 'General Information'!G111&lt;&gt;""), _xlfn.WEBSERVICE("https://nominatim.openstreetmap.org/search?q=" &amp; 'General Information'!K111 &amp; "&amp;format=json&amp;polygon=1&amp;addressdetails=1"), "")</f>
        <v/>
      </c>
      <c r="E4" s="316" t="e">
        <f t="shared" si="0"/>
        <v>#VALUE!</v>
      </c>
      <c r="F4" s="316" t="e">
        <f t="shared" si="1"/>
        <v>#VALUE!</v>
      </c>
      <c r="G4" t="e">
        <f t="shared" si="2"/>
        <v>#VALUE!</v>
      </c>
    </row>
    <row r="5" spans="1:7" x14ac:dyDescent="0.35">
      <c r="D5" s="315" t="str">
        <f>IF(AND('General Information'!$H$108=TRUE, 'General Information'!D112&lt;&gt;"", 'General Information'!E112&lt;&gt;"", 'General Information'!F112&lt;&gt;"", 'General Information'!G112&lt;&gt;""), _xlfn.WEBSERVICE("https://nominatim.openstreetmap.org/search?q=" &amp; 'General Information'!K112 &amp; "&amp;format=json&amp;polygon=1&amp;addressdetails=1"), "")</f>
        <v/>
      </c>
      <c r="E5" s="316" t="e">
        <f t="shared" si="0"/>
        <v>#VALUE!</v>
      </c>
      <c r="F5" s="316" t="e">
        <f t="shared" si="1"/>
        <v>#VALUE!</v>
      </c>
      <c r="G5" t="e">
        <f t="shared" si="2"/>
        <v>#VALUE!</v>
      </c>
    </row>
    <row r="6" spans="1:7" x14ac:dyDescent="0.35">
      <c r="D6" s="315" t="str">
        <f>IF(AND('General Information'!$H$108=TRUE, 'General Information'!D113&lt;&gt;"", 'General Information'!E113&lt;&gt;"", 'General Information'!F113&lt;&gt;"", 'General Information'!G113&lt;&gt;""), _xlfn.WEBSERVICE("https://nominatim.openstreetmap.org/search?q=" &amp; 'General Information'!K113 &amp; "&amp;format=json&amp;polygon=1&amp;addressdetails=1"), "")</f>
        <v/>
      </c>
      <c r="E6" s="316" t="e">
        <f t="shared" si="0"/>
        <v>#VALUE!</v>
      </c>
      <c r="F6" s="316" t="e">
        <f t="shared" si="1"/>
        <v>#VALUE!</v>
      </c>
      <c r="G6" t="e">
        <f t="shared" si="2"/>
        <v>#VALUE!</v>
      </c>
    </row>
    <row r="7" spans="1:7" x14ac:dyDescent="0.35">
      <c r="D7" s="315" t="str">
        <f>IF(AND('General Information'!$H$108=TRUE, 'General Information'!D114&lt;&gt;"", 'General Information'!E114&lt;&gt;"", 'General Information'!F114&lt;&gt;"", 'General Information'!G114&lt;&gt;""), _xlfn.WEBSERVICE("https://nominatim.openstreetmap.org/search?q=" &amp; 'General Information'!K114 &amp; "&amp;format=json&amp;polygon=1&amp;addressdetails=1"), "")</f>
        <v/>
      </c>
      <c r="E7" s="316" t="e">
        <f t="shared" si="0"/>
        <v>#VALUE!</v>
      </c>
      <c r="F7" s="316" t="e">
        <f t="shared" si="1"/>
        <v>#VALUE!</v>
      </c>
      <c r="G7" t="e">
        <f t="shared" si="2"/>
        <v>#VALUE!</v>
      </c>
    </row>
    <row r="8" spans="1:7" x14ac:dyDescent="0.35">
      <c r="D8" s="315" t="str">
        <f>IF(AND('General Information'!$H$108=TRUE, 'General Information'!D115&lt;&gt;"", 'General Information'!E115&lt;&gt;"", 'General Information'!F115&lt;&gt;"", 'General Information'!G115&lt;&gt;""), _xlfn.WEBSERVICE("https://nominatim.openstreetmap.org/search?q=" &amp; 'General Information'!K115 &amp; "&amp;format=json&amp;polygon=1&amp;addressdetails=1"), "")</f>
        <v/>
      </c>
      <c r="E8" s="316" t="e">
        <f t="shared" si="0"/>
        <v>#VALUE!</v>
      </c>
      <c r="F8" s="316" t="e">
        <f t="shared" si="1"/>
        <v>#VALUE!</v>
      </c>
      <c r="G8" t="e">
        <f t="shared" si="2"/>
        <v>#VALUE!</v>
      </c>
    </row>
    <row r="9" spans="1:7" x14ac:dyDescent="0.35">
      <c r="D9" s="315" t="str">
        <f>IF(AND('General Information'!$H$108=TRUE, 'General Information'!D116&lt;&gt;"", 'General Information'!E116&lt;&gt;"", 'General Information'!F116&lt;&gt;"", 'General Information'!G116&lt;&gt;""), _xlfn.WEBSERVICE("https://nominatim.openstreetmap.org/search?q=" &amp; 'General Information'!K116 &amp; "&amp;format=json&amp;polygon=1&amp;addressdetails=1"), "")</f>
        <v/>
      </c>
      <c r="E9" s="316" t="e">
        <f t="shared" si="0"/>
        <v>#VALUE!</v>
      </c>
      <c r="F9" s="316" t="e">
        <f t="shared" si="1"/>
        <v>#VALUE!</v>
      </c>
      <c r="G9" t="e">
        <f t="shared" si="2"/>
        <v>#VALUE!</v>
      </c>
    </row>
    <row r="10" spans="1:7" x14ac:dyDescent="0.35">
      <c r="D10" s="315" t="str">
        <f>IF(AND('General Information'!$H$108=TRUE, 'General Information'!D117&lt;&gt;"", 'General Information'!E117&lt;&gt;"", 'General Information'!F117&lt;&gt;"", 'General Information'!G117&lt;&gt;""), _xlfn.WEBSERVICE("https://nominatim.openstreetmap.org/search?q=" &amp; 'General Information'!K117 &amp; "&amp;format=json&amp;polygon=1&amp;addressdetails=1"), "")</f>
        <v/>
      </c>
      <c r="E10" s="316" t="e">
        <f t="shared" si="0"/>
        <v>#VALUE!</v>
      </c>
      <c r="F10" s="316" t="e">
        <f t="shared" si="1"/>
        <v>#VALUE!</v>
      </c>
      <c r="G10" t="e">
        <f t="shared" si="2"/>
        <v>#VALUE!</v>
      </c>
    </row>
    <row r="11" spans="1:7" x14ac:dyDescent="0.35">
      <c r="D11" s="315" t="str">
        <f>IF(AND('General Information'!$H$108=TRUE, 'General Information'!D118&lt;&gt;"", 'General Information'!E118&lt;&gt;"", 'General Information'!F118&lt;&gt;"", 'General Information'!G118&lt;&gt;""), _xlfn.WEBSERVICE("https://nominatim.openstreetmap.org/search?q=" &amp; 'General Information'!K118 &amp; "&amp;format=json&amp;polygon=1&amp;addressdetails=1"), "")</f>
        <v/>
      </c>
      <c r="E11" s="316" t="e">
        <f t="shared" si="0"/>
        <v>#VALUE!</v>
      </c>
      <c r="F11" s="316" t="e">
        <f t="shared" si="1"/>
        <v>#VALUE!</v>
      </c>
      <c r="G11" t="e">
        <f t="shared" si="2"/>
        <v>#VALUE!</v>
      </c>
    </row>
    <row r="12" spans="1:7" x14ac:dyDescent="0.35">
      <c r="D12" s="315" t="str">
        <f>IF(AND('General Information'!$H$108=TRUE, 'General Information'!D119&lt;&gt;"", 'General Information'!E119&lt;&gt;"", 'General Information'!F119&lt;&gt;"", 'General Information'!G119&lt;&gt;""), _xlfn.WEBSERVICE("https://nominatim.openstreetmap.org/search?q=" &amp; 'General Information'!K119 &amp; "&amp;format=json&amp;polygon=1&amp;addressdetails=1"), "")</f>
        <v/>
      </c>
      <c r="E12" s="316" t="e">
        <f t="shared" si="0"/>
        <v>#VALUE!</v>
      </c>
      <c r="F12" s="316" t="e">
        <f t="shared" si="1"/>
        <v>#VALUE!</v>
      </c>
      <c r="G12" t="e">
        <f t="shared" si="2"/>
        <v>#VALUE!</v>
      </c>
    </row>
    <row r="13" spans="1:7" x14ac:dyDescent="0.35">
      <c r="D13" s="315" t="str">
        <f>IF(AND('General Information'!$H$108=TRUE, 'General Information'!D120&lt;&gt;"", 'General Information'!E120&lt;&gt;"", 'General Information'!F120&lt;&gt;"", 'General Information'!G120&lt;&gt;""), _xlfn.WEBSERVICE("https://nominatim.openstreetmap.org/search?q=" &amp; 'General Information'!K120 &amp; "&amp;format=json&amp;polygon=1&amp;addressdetails=1"), "")</f>
        <v/>
      </c>
      <c r="E13" s="316" t="e">
        <f t="shared" si="0"/>
        <v>#VALUE!</v>
      </c>
      <c r="F13" s="316" t="e">
        <f t="shared" si="1"/>
        <v>#VALUE!</v>
      </c>
      <c r="G13" t="e">
        <f t="shared" si="2"/>
        <v>#VALUE!</v>
      </c>
    </row>
    <row r="14" spans="1:7" x14ac:dyDescent="0.35">
      <c r="D14" s="315" t="str">
        <f>IF(AND('General Information'!$H$108=TRUE, 'General Information'!D121&lt;&gt;"", 'General Information'!E121&lt;&gt;"", 'General Information'!F121&lt;&gt;"", 'General Information'!G121&lt;&gt;""), _xlfn.WEBSERVICE("https://nominatim.openstreetmap.org/search?q=" &amp; 'General Information'!K121 &amp; "&amp;format=json&amp;polygon=1&amp;addressdetails=1"), "")</f>
        <v/>
      </c>
      <c r="E14" s="316" t="e">
        <f t="shared" si="0"/>
        <v>#VALUE!</v>
      </c>
      <c r="F14" s="316" t="e">
        <f t="shared" si="1"/>
        <v>#VALUE!</v>
      </c>
      <c r="G14" t="e">
        <f t="shared" si="2"/>
        <v>#VALUE!</v>
      </c>
    </row>
    <row r="15" spans="1:7" x14ac:dyDescent="0.35">
      <c r="D15" s="315" t="str">
        <f>IF(AND('General Information'!$H$108=TRUE, 'General Information'!D122&lt;&gt;"", 'General Information'!E122&lt;&gt;"", 'General Information'!F122&lt;&gt;"", 'General Information'!G122&lt;&gt;""), _xlfn.WEBSERVICE("https://nominatim.openstreetmap.org/search?q=" &amp; 'General Information'!K122 &amp; "&amp;format=json&amp;polygon=1&amp;addressdetails=1"), "")</f>
        <v/>
      </c>
      <c r="E15" s="316" t="e">
        <f t="shared" si="0"/>
        <v>#VALUE!</v>
      </c>
      <c r="F15" s="316" t="e">
        <f t="shared" si="1"/>
        <v>#VALUE!</v>
      </c>
      <c r="G15" t="e">
        <f t="shared" si="2"/>
        <v>#VALUE!</v>
      </c>
    </row>
    <row r="16" spans="1:7" x14ac:dyDescent="0.35">
      <c r="D16" s="315" t="str">
        <f>IF(AND('General Information'!$H$108=TRUE, 'General Information'!D123&lt;&gt;"", 'General Information'!E123&lt;&gt;"", 'General Information'!F123&lt;&gt;"", 'General Information'!G123&lt;&gt;""), _xlfn.WEBSERVICE("https://nominatim.openstreetmap.org/search?q=" &amp; 'General Information'!K123 &amp; "&amp;format=json&amp;polygon=1&amp;addressdetails=1"), "")</f>
        <v/>
      </c>
      <c r="E16" s="316" t="e">
        <f t="shared" si="0"/>
        <v>#VALUE!</v>
      </c>
      <c r="F16" s="316" t="e">
        <f t="shared" si="1"/>
        <v>#VALUE!</v>
      </c>
      <c r="G16" t="e">
        <f t="shared" si="2"/>
        <v>#VALUE!</v>
      </c>
    </row>
    <row r="17" spans="4:7" x14ac:dyDescent="0.35">
      <c r="D17" s="315" t="str">
        <f>IF(AND('General Information'!$H$108=TRUE, 'General Information'!D124&lt;&gt;"", 'General Information'!E124&lt;&gt;"", 'General Information'!F124&lt;&gt;"", 'General Information'!G124&lt;&gt;""), _xlfn.WEBSERVICE("https://nominatim.openstreetmap.org/search?q=" &amp; 'General Information'!K124 &amp; "&amp;format=json&amp;polygon=1&amp;addressdetails=1"), "")</f>
        <v/>
      </c>
      <c r="E17" s="316" t="e">
        <f t="shared" si="0"/>
        <v>#VALUE!</v>
      </c>
      <c r="F17" s="316" t="e">
        <f t="shared" si="1"/>
        <v>#VALUE!</v>
      </c>
      <c r="G17" t="e">
        <f t="shared" si="2"/>
        <v>#VALUE!</v>
      </c>
    </row>
    <row r="18" spans="4:7" x14ac:dyDescent="0.35">
      <c r="D18" s="315" t="str">
        <f>IF(AND('General Information'!$H$108=TRUE, 'General Information'!D125&lt;&gt;"", 'General Information'!E125&lt;&gt;"", 'General Information'!F125&lt;&gt;"", 'General Information'!G125&lt;&gt;""), _xlfn.WEBSERVICE("https://nominatim.openstreetmap.org/search?q=" &amp; 'General Information'!K125 &amp; "&amp;format=json&amp;polygon=1&amp;addressdetails=1"), "")</f>
        <v/>
      </c>
      <c r="E18" s="316" t="e">
        <f t="shared" si="0"/>
        <v>#VALUE!</v>
      </c>
      <c r="F18" s="316" t="e">
        <f t="shared" si="1"/>
        <v>#VALUE!</v>
      </c>
      <c r="G18" t="e">
        <f t="shared" si="2"/>
        <v>#VALUE!</v>
      </c>
    </row>
    <row r="19" spans="4:7" x14ac:dyDescent="0.35">
      <c r="D19" s="315" t="str">
        <f>IF(AND('General Information'!$H$108=TRUE, 'General Information'!D126&lt;&gt;"", 'General Information'!E126&lt;&gt;"", 'General Information'!F126&lt;&gt;"", 'General Information'!G126&lt;&gt;""), _xlfn.WEBSERVICE("https://nominatim.openstreetmap.org/search?q=" &amp; 'General Information'!K126 &amp; "&amp;format=json&amp;polygon=1&amp;addressdetails=1"), "")</f>
        <v/>
      </c>
      <c r="E19" s="316" t="e">
        <f t="shared" si="0"/>
        <v>#VALUE!</v>
      </c>
      <c r="F19" s="316" t="e">
        <f t="shared" si="1"/>
        <v>#VALUE!</v>
      </c>
      <c r="G19" t="e">
        <f t="shared" si="2"/>
        <v>#VALUE!</v>
      </c>
    </row>
    <row r="20" spans="4:7" x14ac:dyDescent="0.35">
      <c r="D20" s="315" t="str">
        <f>IF(AND('General Information'!$H$108=TRUE, 'General Information'!D127&lt;&gt;"", 'General Information'!E127&lt;&gt;"", 'General Information'!F127&lt;&gt;"", 'General Information'!G127&lt;&gt;""), _xlfn.WEBSERVICE("https://nominatim.openstreetmap.org/search?q=" &amp; 'General Information'!K127 &amp; "&amp;format=json&amp;polygon=1&amp;addressdetails=1"), "")</f>
        <v/>
      </c>
      <c r="E20" s="316" t="e">
        <f t="shared" si="0"/>
        <v>#VALUE!</v>
      </c>
      <c r="F20" s="316" t="e">
        <f t="shared" si="1"/>
        <v>#VALUE!</v>
      </c>
      <c r="G20" t="e">
        <f t="shared" si="2"/>
        <v>#VALUE!</v>
      </c>
    </row>
    <row r="21" spans="4:7" x14ac:dyDescent="0.35">
      <c r="D21" s="315" t="str">
        <f>IF(AND('General Information'!$H$108=TRUE, 'General Information'!D128&lt;&gt;"", 'General Information'!E128&lt;&gt;"", 'General Information'!F128&lt;&gt;"", 'General Information'!G128&lt;&gt;""), _xlfn.WEBSERVICE("https://nominatim.openstreetmap.org/search?q=" &amp; 'General Information'!K128 &amp; "&amp;format=json&amp;polygon=1&amp;addressdetails=1"), "")</f>
        <v/>
      </c>
      <c r="E21" s="316" t="e">
        <f t="shared" si="0"/>
        <v>#VALUE!</v>
      </c>
      <c r="F21" s="316" t="e">
        <f t="shared" si="1"/>
        <v>#VALUE!</v>
      </c>
      <c r="G21" t="e">
        <f t="shared" si="2"/>
        <v>#VALUE!</v>
      </c>
    </row>
    <row r="22" spans="4:7" x14ac:dyDescent="0.35">
      <c r="D22" s="315" t="str">
        <f>IF(AND('General Information'!$H$108=TRUE, 'General Information'!D129&lt;&gt;"", 'General Information'!E129&lt;&gt;"", 'General Information'!F129&lt;&gt;"", 'General Information'!G129&lt;&gt;""), _xlfn.WEBSERVICE("https://nominatim.openstreetmap.org/search?q=" &amp; 'General Information'!K129 &amp; "&amp;format=json&amp;polygon=1&amp;addressdetails=1"), "")</f>
        <v/>
      </c>
      <c r="E22" s="316" t="e">
        <f t="shared" si="0"/>
        <v>#VALUE!</v>
      </c>
      <c r="F22" s="316" t="e">
        <f t="shared" si="1"/>
        <v>#VALUE!</v>
      </c>
      <c r="G22" t="e">
        <f t="shared" si="2"/>
        <v>#VALUE!</v>
      </c>
    </row>
    <row r="23" spans="4:7" x14ac:dyDescent="0.35">
      <c r="D23" s="315" t="str">
        <f>IF(AND('General Information'!$H$108=TRUE, 'General Information'!D130&lt;&gt;"", 'General Information'!E130&lt;&gt;"", 'General Information'!F130&lt;&gt;"", 'General Information'!G130&lt;&gt;""), _xlfn.WEBSERVICE("https://nominatim.openstreetmap.org/search?q=" &amp; 'General Information'!K130 &amp; "&amp;format=json&amp;polygon=1&amp;addressdetails=1"), "")</f>
        <v/>
      </c>
      <c r="E23" s="316" t="e">
        <f t="shared" si="0"/>
        <v>#VALUE!</v>
      </c>
      <c r="F23" s="316" t="e">
        <f t="shared" si="1"/>
        <v>#VALUE!</v>
      </c>
      <c r="G23" t="e">
        <f t="shared" si="2"/>
        <v>#VALUE!</v>
      </c>
    </row>
    <row r="24" spans="4:7" x14ac:dyDescent="0.35">
      <c r="D24" s="315" t="str">
        <f>IF(AND('General Information'!$H$108=TRUE, 'General Information'!D131&lt;&gt;"", 'General Information'!E131&lt;&gt;"", 'General Information'!F131&lt;&gt;"", 'General Information'!G131&lt;&gt;""), _xlfn.WEBSERVICE("https://nominatim.openstreetmap.org/search?q=" &amp; 'General Information'!K131 &amp; "&amp;format=json&amp;polygon=1&amp;addressdetails=1"), "")</f>
        <v/>
      </c>
      <c r="E24" s="316" t="e">
        <f t="shared" si="0"/>
        <v>#VALUE!</v>
      </c>
      <c r="F24" s="316" t="e">
        <f t="shared" si="1"/>
        <v>#VALUE!</v>
      </c>
      <c r="G24" t="e">
        <f t="shared" si="2"/>
        <v>#VALUE!</v>
      </c>
    </row>
    <row r="25" spans="4:7" x14ac:dyDescent="0.35">
      <c r="D25" s="315" t="str">
        <f>IF(AND('General Information'!$H$108=TRUE, 'General Information'!D132&lt;&gt;"", 'General Information'!E132&lt;&gt;"", 'General Information'!F132&lt;&gt;"", 'General Information'!G132&lt;&gt;""), _xlfn.WEBSERVICE("https://nominatim.openstreetmap.org/search?q=" &amp; 'General Information'!K132 &amp; "&amp;format=json&amp;polygon=1&amp;addressdetails=1"), "")</f>
        <v/>
      </c>
      <c r="E25" s="316" t="e">
        <f t="shared" si="0"/>
        <v>#VALUE!</v>
      </c>
      <c r="F25" s="316" t="e">
        <f t="shared" si="1"/>
        <v>#VALUE!</v>
      </c>
      <c r="G25" t="e">
        <f t="shared" si="2"/>
        <v>#VALUE!</v>
      </c>
    </row>
    <row r="26" spans="4:7" x14ac:dyDescent="0.35">
      <c r="D26" s="315" t="str">
        <f>IF(AND('General Information'!$H$108=TRUE, 'General Information'!D133&lt;&gt;"", 'General Information'!E133&lt;&gt;"", 'General Information'!F133&lt;&gt;"", 'General Information'!G133&lt;&gt;""), _xlfn.WEBSERVICE("https://nominatim.openstreetmap.org/search?q=" &amp; 'General Information'!K133 &amp; "&amp;format=json&amp;polygon=1&amp;addressdetails=1"), "")</f>
        <v/>
      </c>
      <c r="E26" s="316" t="e">
        <f t="shared" si="0"/>
        <v>#VALUE!</v>
      </c>
      <c r="F26" s="316" t="e">
        <f t="shared" si="1"/>
        <v>#VALUE!</v>
      </c>
      <c r="G26" t="e">
        <f t="shared" si="2"/>
        <v>#VALUE!</v>
      </c>
    </row>
  </sheetData>
  <sheetProtection algorithmName="SHA-512" hashValue="X6trEOI9bKg/8F4kiuN1Jua2lrsN3LLF+WY7MphX8tgY5ucPBbYrZ9UkMJ7jLphPA3/vG3snSf0fKUmtwwuB3g==" saltValue="zbXQeWtIH6JADTg75VWLh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004F5-C921-4BA0-AB27-BE7B509778F1}">
  <dimension ref="B1:C68"/>
  <sheetViews>
    <sheetView zoomScaleNormal="100" workbookViewId="0"/>
  </sheetViews>
  <sheetFormatPr defaultColWidth="8.90625" defaultRowHeight="14.5" x14ac:dyDescent="0.35"/>
  <cols>
    <col min="1" max="1" width="3.6328125" style="10" customWidth="1"/>
    <col min="2" max="2" width="98.08984375" style="10" customWidth="1"/>
    <col min="3" max="3" width="50.6328125" style="10" customWidth="1"/>
    <col min="4" max="16384" width="8.90625" style="10"/>
  </cols>
  <sheetData>
    <row r="1" spans="2:3" ht="15" thickBot="1" x14ac:dyDescent="0.4"/>
    <row r="2" spans="2:3" ht="18.5" x14ac:dyDescent="0.45">
      <c r="B2" s="359"/>
      <c r="C2" s="360" t="str">
        <f>template_label_overall_validation_status_validation</f>
        <v>Overall Validation Status</v>
      </c>
    </row>
    <row r="3" spans="2:3" ht="31" x14ac:dyDescent="0.7">
      <c r="B3" s="447" t="str">
        <f>template_label_table_of_contents_validation</f>
        <v>Table of Contents</v>
      </c>
      <c r="C3" s="361" t="str" cm="1">
        <f t="array" ref="C3">IF(SUMPRODUCT(--((C5:C68&lt;&gt;template_label_ok)*(C5:C68&lt;&gt;"-")*(C5:C68&lt;&gt;""))) &gt; 0, template_label_incomplete, template_label_complete)</f>
        <v>INCOMPLETE</v>
      </c>
    </row>
    <row r="4" spans="2:3" ht="18.5" x14ac:dyDescent="0.35">
      <c r="B4" s="362" t="str">
        <f>template_label_contents_grouping_follows_templates_framework</f>
        <v>Contents grouping follows template's framework</v>
      </c>
      <c r="C4" s="363" t="str">
        <f>template_label_specific_content_validation_status_validation</f>
        <v>Specific Content Validation Status</v>
      </c>
    </row>
    <row r="5" spans="2:3" x14ac:dyDescent="0.35">
      <c r="B5" s="364" t="str">
        <f>template_label_general_information_validation</f>
        <v>General Information</v>
      </c>
      <c r="C5" s="365"/>
    </row>
    <row r="6" spans="2:3" x14ac:dyDescent="0.35">
      <c r="B6" s="366" t="str">
        <f>template_label_information_on_the_report_necessary_for_xbrl_validation</f>
        <v>· Information on the report necessary for  XBRL</v>
      </c>
      <c r="C6" s="367" t="str">
        <f>IF(
    AND(
        COUNTIF('General Information'!F3:F12, template_label_missing_value) &gt; 0,
        COUNTIF('General Information'!F3:F12, template_label_error) = 0
    ),
    template_label_missing_value,
    IF(
        AND(
            COUNTIF('General Information'!F3:F12, template_label_error) &gt; 0,
            COUNTIF('General Information'!F3:F12, template_label_missing_value) = 0
        ),
        template_label_value_inconsistency,
        IF(
            AND(
                COUNTIF('General Information'!F3:F12, template_label_error) &gt; 0,
                COUNTIF('General Information'!F3:F12, template_label_missing_value) &gt; 0
            ),
            template_label_error_plus_value_inconsistency,
            template_label_ok
        )
    )
)</f>
        <v>MISSING VALUE</v>
      </c>
    </row>
    <row r="7" spans="2:3" x14ac:dyDescent="0.35">
      <c r="B7" s="368" t="str">
        <f>template_label_information_on_previous_reporting_period_validation</f>
        <v>· Information on previous reporting period</v>
      </c>
      <c r="C7" s="367" t="str">
        <f>IF(COUNTIF('General Information'!F18:F29, template_label_missing_value) &gt; 0, template_label_missing_value,
IF(COUNTIF('General Information'!F18:F29, template_label_invalid_url
 ) &gt; 0, template_label_invalid_url,
IF(COUNTIF('General Information'!F18:F29, template_label_ok) &gt; 0, template_label_ok, "-")))</f>
        <v>-</v>
      </c>
    </row>
    <row r="8" spans="2:3" ht="18.5" x14ac:dyDescent="0.45">
      <c r="B8" s="448" t="str">
        <f>template_label_basic_module_validation</f>
        <v>Basic Module</v>
      </c>
      <c r="C8" s="369"/>
    </row>
    <row r="9" spans="2:3" x14ac:dyDescent="0.35">
      <c r="B9" s="364" t="str">
        <f>template_label_general_information_validation</f>
        <v>General Information</v>
      </c>
      <c r="C9" s="365"/>
    </row>
    <row r="10" spans="2:3" x14ac:dyDescent="0.35">
      <c r="B10" s="370" t="str">
        <f>template_label_b1_basis_for_preparation_validation</f>
        <v>· B1 - Basis for Preparation</v>
      </c>
      <c r="C10" s="367" t="str">
        <f>IF(COUNTIF(C11:C14,template_label_error_plus_missing_value_plus_value_inconsistency)&gt;0,template_label_error_plus_missing_value_plus_value_inconsistency,
IF(COUNTIF(C11:C14,template_label_error_plus_value_inconsistency)&gt;0,template_label_error_plus_value_inconsistency,
IF(COUNTIF(C11:C14,template_label_error_plus_missing_value)&gt;0,template_label_error_plus_missing_value,
IF(COUNTIF(C11:C14,template_label_error)&gt;0,template_label_error,
IF(COUNTIF(C11:C14,template_label_missing_value_plus_value_inconsistency)&gt;0,template_label_missing_value_plus_value_inconsistency,
IF(COUNTIF(C11:C14,template_label_value_inconsistency)&gt;0,template_label_value_inconsistency,
IF(COUNTIF(C11:C14,template_label_missing_value)&gt;0,template_label_missing_value,
IF(COUNTIF(C11:C14,template_label_ok)=ROWS(C11:C14),template_label_ok,
IF(COUNTIF(C11:C14,"-")=ROWS(C11:C14),"-",
template_label_ok)))))))))</f>
        <v>MISSING VALUE</v>
      </c>
    </row>
    <row r="11" spans="2:3" x14ac:dyDescent="0.35">
      <c r="B11" s="446" t="str">
        <f>template_label_basis_for_preparation_and_other_undertakings_general_information_validation</f>
        <v>Basis for Preparation and other undertaking's general information</v>
      </c>
      <c r="C11" s="367" t="str">
        <f>IF(
    AND(
        COUNTIF('General Information'!F32:F65, template_label_missing_value) &gt; 0,
        COUNTIF('General Information'!F32:F65, template_label_value_inconsistency) = 0
    ),
    template_label_missing_value,
    IF(
        AND(
            COUNTIF('General Information'!F32:F65, template_label_value_inconsistency) &gt; 0,
            COUNTIF('General Information'!F32:F65, template_label_missing_value) = 0
        ),
        template_label_value_inconsistency,
        IF(
            AND(
                COUNTIF('General Information'!F32:F65, template_label_value_inconsistency) &gt; 0,
                COUNTIF('General Information'!F32:F65, template_label_missing_value) &gt; 0
            ),
            template_label_error_plus_value_inconsistency,
            template_label_ok
        )
    )
)</f>
        <v>MISSING VALUE</v>
      </c>
    </row>
    <row r="12" spans="2:3" x14ac:dyDescent="0.35">
      <c r="B12" s="446" t="str">
        <f>template_label_list_of_subsidiaries_validation</f>
        <v>List of subsidiaries</v>
      </c>
      <c r="C12" s="367" t="str">
        <f>IF(
    COUNTIF('General Information'!F70:F94, template_label_missing_value) &gt; 0,
    template_label_missing_value,
    IF(
        COUNTIF('General Information'!F70:F94, template_label_ok) &gt; 0,
        template_label_ok,
        "-"
    )
)</f>
        <v>-</v>
      </c>
    </row>
    <row r="13" spans="2:3" x14ac:dyDescent="0.35">
      <c r="B13" s="446" t="str">
        <f>template_label_disclosure_of_sustainability_related_certifications_or_labels_validation</f>
        <v>Disclosure of sustainability-related certification(s) or label(s)</v>
      </c>
      <c r="C13" s="367" t="str">
        <f>IF(
    COUNTIF('General Information'!I100, template_label_missing_value) &gt; 0,
    template_label_missing_value,
    IF(
        COUNTIF('General Information'!I100, template_label_ok) &gt; 0,
        template_label_ok,
        "-"
    )
)</f>
        <v>-</v>
      </c>
    </row>
    <row r="14" spans="2:3" x14ac:dyDescent="0.35">
      <c r="B14" s="446" t="str">
        <f>template_label_list_of_sites_validation</f>
        <v>List of site(s)</v>
      </c>
      <c r="C14" s="367" t="str">
        <f>IF(
    COUNTIF('General Information'!I109:I133, template_label_missing_value) &gt; 0,
    template_label_missing_value,
    IF(
        COUNTIF('General Information'!I109:I133, template_label_ok) &gt; 0,
        template_label_ok,
        "-"
    )
)</f>
        <v>-</v>
      </c>
    </row>
    <row r="15" spans="2:3" x14ac:dyDescent="0.35">
      <c r="B15" s="449" t="str">
        <f>template_label_b2_practices_policies_and_future_initiatives_for_transitioning_towards_a_more_sustainable_economy_validation</f>
        <v>· B2 - Practices, policies and future initiatives for transitioning towards a more sustainable economy</v>
      </c>
      <c r="C15" s="367" t="str">
        <f>IF(
    COUNTIF(C16:C17, template_label_error_plus_missing_value_plus_value_inconsistency) &gt; 0,
    template_label_error_plus_missing_value_plus_value_inconsistency,
    IF(
        COUNTIF(C16:C17, template_label_error_plus_value_inconsistency) &gt; 0,
        template_label_error_plus_value_inconsistency,
        IF(
            COUNTIF(C16:C17, template_label_error_plus_missing_value) &gt; 0,
            template_label_error_plus_missing_value,
            IF(
                COUNTIF(C16:C17, template_label_error) &gt; 0,
                template_label_error,
                IF(
                    COUNTIF(C16:C17, template_label_missing_value_plus_value_inconsistency) &gt; 0,
                    template_label_missing_value_plus_value_inconsistency,
                    IF(
                        COUNTIF(C16:C17, template_label_value_inconsistency) &gt; 0,
                        template_label_value_inconsistency,
                        IF(
                            COUNTIF(C16:C17, template_label_missing_value) &gt; 0,
                            template_label_missing_value,
                            IF(
                                COUNTIF(C16:C17, template_label_ok) = ROWS(C16:C17),
                                template_label_ok,
                                IF(
                                    COUNTIF(C16:C17, "-") = ROWS(C16:C17),
                                    "-",
                                    template_label_ok
                                )
                            )
                        )
                    )
                )
            )
        )
    )
)</f>
        <v>-</v>
      </c>
    </row>
    <row r="16" spans="2:3" x14ac:dyDescent="0.35">
      <c r="B16" s="446" t="str">
        <f>template_label_practices_policies_and_future_initiatives_for_transitioning_towards_a_more_sustainable_economy_validation</f>
        <v>Practices, policies and future initiatives for transitioning towards a more sustainable economy</v>
      </c>
      <c r="C16" s="367" t="str">
        <f>IF(
    COUNTIF('General Information'!P140, template_label_missing_value) &gt; 0,
    template_label_missing_value,
    IF(
        COUNTIF('General Information'!P140, template_label_ok) &gt; 0,
        template_label_ok,
        "-"
    )
)</f>
        <v>-</v>
      </c>
    </row>
    <row r="17" spans="2:3" x14ac:dyDescent="0.35">
      <c r="B17" s="446" t="str">
        <f>template_label_cooperative_specific_disclosures_validation</f>
        <v>Cooperative specific disclosures</v>
      </c>
      <c r="C17" s="367" t="str" cm="1">
        <f t="array" ref="C17">IF(OR('General Information'!E144:E146=template_label_ok),template_label_ok,"-")</f>
        <v>-</v>
      </c>
    </row>
    <row r="18" spans="2:3" x14ac:dyDescent="0.35">
      <c r="B18" s="371" t="str">
        <f>template_label_environmental_disclosures_validation</f>
        <v>Environmental Disclosures</v>
      </c>
      <c r="C18" s="365"/>
    </row>
    <row r="19" spans="2:3" x14ac:dyDescent="0.35">
      <c r="B19" s="451" t="str">
        <f>template_label_b3_energy_and_greenhouse_gas_emissions_validation</f>
        <v>· B3 - Energy and greenhouse gas emissions</v>
      </c>
      <c r="C19" s="367" t="str">
        <f>IF(COUNTIF(C20:C23,template_label_error_plus_missing_value_plus_value_inconsistency)&gt;0,template_label_error_plus_missing_value_plus_value_inconsistency,
IF(COUNTIF(C20:C23,template_label_error_plus_value_inconsistency)&gt;0,template_label_error_plus_value_inconsistency,
IF(COUNTIF(C20:C23,template_label_error_plus_missing_value)&gt;0,template_label_error_plus_missing_value,
IF(COUNTIF(C20:C23,template_label_error)&gt;0,template_label_error,
IF(COUNTIF(C20:C23,template_label_missing_value_plus_value_inconsistency)&gt;0,template_label_missing_value_plus_value_inconsistency,
IF(COUNTIF(C20:C23,template_label_value_inconsistency)&gt;0,template_label_value_inconsistency,
IF(COUNTIF(C20:C23,template_label_missing_value)&gt;0,template_label_missing_value,
IF(COUNTIF(C20:C23,template_label_ok)=ROWS(C20:C23),template_label_ok,
IF(COUNTIF(C20:C23,"-")=ROWS(C20:C23),"-",
template_label_ok)))))))))</f>
        <v>-</v>
      </c>
    </row>
    <row r="20" spans="2:3" x14ac:dyDescent="0.35">
      <c r="B20" s="450" t="str">
        <f>template_label_total_energy_consumption_in_mwh_validation</f>
        <v>Total Energy Consumption (in MWh)</v>
      </c>
      <c r="C20" s="367" t="str">
        <f>IF(COUNTIF('Environmental Disclosures'!L5,template_label_missing_value)&gt;0,template_label_missing_value,
IF(COUNTIF('Environmental Disclosures'!L5,template_label_ok)&gt;0,template_label_ok,"-"))</f>
        <v>-</v>
      </c>
    </row>
    <row r="21" spans="2:3" x14ac:dyDescent="0.35">
      <c r="B21" s="450" t="str">
        <f>template_label_breakdown_of_energy_consumption_in_mwh_validation</f>
        <v>Breakdown of energy consumption (in MWh)</v>
      </c>
      <c r="C21" s="372" t="str">
        <f>IF(
AND(
COUNTIF('Environmental Disclosures'!L12:L14,template_label_missing_value)&gt;0,
COUNTIF('Environmental Disclosures'!L12:L14,template_label_value_inconsistency)=0
),
template_label_missing_value,
IF(
AND(
COUNTIF('Environmental Disclosures'!L12:L14,template_label_value_inconsistency)&gt;0,
COUNTIF('Environmental Disclosures'!L12:L14,template_label_missing_value)=0
),
template_label_value_inconsistency,
IF(
AND(
COUNTIF('Environmental Disclosures'!L12:L14,template_label_value_inconsistency)&gt;0,
COUNTIF('Environmental Disclosures'!L12:L14,template_label_missing_value)&gt;0
),
template_label_error_plus_value_inconsistency,
IF(
COUNTA('Environmental Disclosures'!L12:L14,"-"),
"-",
template_label_ok
)
)
))</f>
        <v>-</v>
      </c>
    </row>
    <row r="22" spans="2:3" x14ac:dyDescent="0.35">
      <c r="B22" s="450" t="str">
        <f>template_label_estimated_greenhouse_gas_emissions_considering_the_ghg_protocol_version_2004_in_tco2e_validation</f>
        <v>Estimated Greenhouse Gas Emissions considering the GHG Protocol Version 2004 (in tCO2e)</v>
      </c>
      <c r="C22" s="367" t="str">
        <f>IF(COUNTIF('Environmental Disclosures'!L21:L44,template_label_missing_value)&gt;0,template_label_missing_value,
IF(COUNTIF('Environmental Disclosures'!L21:L44,template_label_ok)&gt;0,template_label_ok,"-"))</f>
        <v>-</v>
      </c>
    </row>
    <row r="23" spans="2:3" x14ac:dyDescent="0.35">
      <c r="B23" s="450" t="str">
        <f>template_label_greenhouse_gas_emission_intensity_per_turnover_validation</f>
        <v>Greenhouse gas emission intensity per turnover</v>
      </c>
      <c r="C23" s="372" t="str">
        <f>IF(C22=template_label_ok,template_label_ok,"-")</f>
        <v>-</v>
      </c>
    </row>
    <row r="24" spans="2:3" x14ac:dyDescent="0.35">
      <c r="B24" s="366" t="str">
        <f>template_label_b4_pollution_of_air_water_and_soil_validation</f>
        <v>· B4 - Pollution of air, water and soil</v>
      </c>
      <c r="C24" s="367" t="str">
        <f>IF(COUNTIF('Environmental Disclosures'!L75:L119,template_label_invalid_url)&gt;0,
   template_label_invalid_url,
IF(AND(COUNTIF('Environmental Disclosures'!L75:L119,template_label_missing_value)&gt;0,
       COUNTIF('Environmental Disclosures'!L75:L119,template_label_value_inconsistency)&gt;0),
   template_label_missing_value_plus_value_inconsistency,
IF(COUNTIF('Environmental Disclosures'!L75:L119,template_label_missing_value)&gt;0,
   template_label_missing_value,
IF(COUNTIF('Environmental Disclosures'!L75:L119,template_label_value_inconsistency)&gt;0,
   template_label_value_inconsistency,
IF(COUNTIF('Environmental Disclosures'!L75:L119,template_label_ok)&gt;0,
   template_label_ok,
"-")))))</f>
        <v>-</v>
      </c>
    </row>
    <row r="25" spans="2:3" x14ac:dyDescent="0.35">
      <c r="B25" s="366" t="str">
        <f>template_label_b5_biodiversity_validation</f>
        <v>· B5 - Biodiversity</v>
      </c>
      <c r="C25" s="367" t="str">
        <f>IF(COUNTIF(C26:C27,template_label_error_plus_missing_value_plus_value_inconsistency)&gt;0,template_label_error_plus_missing_value_plus_value_inconsistency,
IF(COUNTIF(C26:C27,template_label_error_plus_value_inconsistency)&gt;0,template_label_error_plus_value_inconsistency,
IF(COUNTIF(C26:C27,template_label_error_plus_missing_value)&gt;0,template_label_error_plus_missing_value,
IF(COUNTIF(C26:C27,template_label_error)&gt;0,template_label_error,
IF(COUNTIF(C26:C27,template_label_missing_value_plus_value_inconsistency)&gt;0,template_label_missing_value_plus_value_inconsistency,
IF(COUNTIF(C26:C27,template_label_value_inconsistency)&gt;0,template_label_value_inconsistency,
IF(COUNTIF(C26:C27,template_label_missing_value)&gt;0,template_label_missing_value,
IF(COUNTIF(C26:C27,template_label_ok)=ROWS(C26:C27),template_label_ok,
IF(COUNTIF(C26:C27,"-")=ROWS(C26:C27),"-",
template_label_ok)))))))))</f>
        <v>-</v>
      </c>
    </row>
    <row r="26" spans="2:3" x14ac:dyDescent="0.35">
      <c r="B26" s="450" t="str">
        <f>template_label_sites_in_biodiversity_sensitive_areas_validation</f>
        <v>Sites in biodiversity sensitive areas</v>
      </c>
      <c r="C26" s="367" t="str">
        <f>IF(AND(
        COUNTIF('Environmental Disclosures'!D128:D153,template_label_ok) + COUNTIF('Environmental Disclosures'!L126:L153,template_label_ok) &gt; 0,
        COUNTIF('Environmental Disclosures'!D128:D153,template_label_missing_value) + COUNTIF('Environmental Disclosures'!L126:L153,template_label_missing_value) = 0,
        COUNTIF('Environmental Disclosures'!D128:D153,template_label_value_inconsistency) + COUNTIF('Environmental Disclosures'!L126:L153,template_label_value_inconsistency) = 0),
    template_label_ok,
    IF(AND(
           COUNTIF('Environmental Disclosures'!D128:D153,template_label_missing_value) + COUNTIF('Environmental Disclosures'!L126:L153,template_label_missing_value) &gt; 0,
           COUNTIF('Environmental Disclosures'!D128:D153,template_label_value_inconsistency) + COUNTIF('Environmental Disclosures'!L126:L153,template_label_value_inconsistency) = 0),
        template_label_missing_value,
        IF(AND(
               COUNTIF('Environmental Disclosures'!D128:D153,template_label_value_inconsistency) + COUNTIF('Environmental Disclosures'!L126:L153,template_label_value_inconsistency) &gt; 0,
               COUNTIF('Environmental Disclosures'!D128:D153,template_label_missing_value) + COUNTIF('Environmental Disclosures'!L126:L153,template_label_missing_value) = 0),
            template_label_value_inconsistency,
            IF(AND(
                   COUNTIF('Environmental Disclosures'!D128:D153,template_label_value_inconsistency) + COUNTIF('Environmental Disclosures'!L126:L153,template_label_value_inconsistency) &gt; 0,
                   COUNTIF('Environmental Disclosures'!D128:D153,template_label_missing_value) + COUNTIF('Environmental Disclosures'!L126:L153,template_label_missing_value) &gt; 0),
                template_label_missing_value_plus_value_inconsistency,
                "-"
            )
        )
    )
)</f>
        <v>-</v>
      </c>
    </row>
    <row r="27" spans="2:3" x14ac:dyDescent="0.35">
      <c r="B27" s="450" t="str">
        <f>template_label_biodiversity_land_use_validation</f>
        <v>Biodiversity - Land-use</v>
      </c>
      <c r="C27" s="367" t="str">
        <f>IF(
AND(
COUNTIF('Environmental Disclosures'!G159:G164,template_label_missing_value)&gt;0,
COUNTIF('Environmental Disclosures'!G159:G164,template_label_value_inconsistency)=0,
COUNTIF('Environmental Disclosures'!G159:G164,template_label_ok)&gt;=0
),
template_label_missing_value,
IF(
AND(
COUNTIF('Environmental Disclosures'!G159:G164,template_label_value_inconsistency)&gt;0,
COUNTIF('Environmental Disclosures'!G159:G164,template_label_missing_value)=0,
COUNTIF('Environmental Disclosures'!G159:G164,template_label_ok)&gt;=0
),
template_label_value_inconsistency,
IF(
AND(
COUNTIF('Environmental Disclosures'!G159:G164,template_label_value_inconsistency)&gt;0,
COUNTIF('Environmental Disclosures'!G159:G164,template_label_missing_value)&gt;0,
COUNTIF('Environmental Disclosures'!G159:G164,template_label_ok)&gt;=0
),
template_label_missing_value_plus_value_inconsistency,
IF(
AND(
COUNTIF('Environmental Disclosures'!G159:G164,template_label_value_inconsistency)=0,
COUNTIF('Environmental Disclosures'!G159:G164,template_label_missing_value)=0,
COUNTIF('Environmental Disclosures'!G159:G164,template_label_ok)&gt;0
),
template_label_ok,
"-"
)
)
))</f>
        <v>-</v>
      </c>
    </row>
    <row r="28" spans="2:3" x14ac:dyDescent="0.35">
      <c r="B28" s="366" t="str">
        <f>template_label_b6_water_validation</f>
        <v>· B6 - Water</v>
      </c>
      <c r="C28" s="367" t="str">
        <f>IF(COUNTIF(C29:C30,template_label_error_plus_missing_value_plus_value_inconsistency)&gt;0,template_label_error_plus_missing_value_plus_value_inconsistency,
IF(COUNTIF(C29:C30,template_label_error_plus_value_inconsistency)&gt;0,template_label_error_plus_value_inconsistency,
IF(COUNTIF(C29:C30,template_label_error_plus_missing_value)&gt;0,template_label_error_plus_missing_value,
IF(COUNTIF(C29:C30,template_label_error)&gt;0,template_label_error,
IF(COUNTIF(C29:C30,template_label_missing_value_plus_value_inconsistency)&gt;0,template_label_missing_value_plus_value_inconsistency,
IF(COUNTIF(C29:C30,template_label_value_inconsistency)&gt;0,template_label_value_inconsistency,
IF(COUNTIF(C29:C30,template_label_missing_value)&gt;0,template_label_missing_value,
IF(COUNTIF(C29:C30,template_label_ok)=ROWS(C29:C30),template_label_ok,
IF(COUNTIF(C29:C30,"-")=ROWS(C29:C30),"-",
template_label_ok)))))))))</f>
        <v>-</v>
      </c>
    </row>
    <row r="29" spans="2:3" x14ac:dyDescent="0.35">
      <c r="B29" s="450" t="str">
        <f>template_label_water_withdrawal_validation</f>
        <v>Water Withdrawal</v>
      </c>
      <c r="C29" s="367" t="str">
        <f>IF(COUNTIF('Environmental Disclosures'!E169:F170, template_label_missing_value) &gt; 0,
    template_label_missing_value,
    IF(COUNTIF('Environmental Disclosures'!E169:F170, template_label_ok) &gt; 0,
        template_label_ok,
        "-"))</f>
        <v>-</v>
      </c>
    </row>
    <row r="30" spans="2:3" x14ac:dyDescent="0.35">
      <c r="B30" s="450" t="str">
        <f>template_label_water_consumption_validation</f>
        <v>Water Consumption</v>
      </c>
      <c r="C30" s="367" t="str">
        <f>IF(COUNTIF('Environmental Disclosures'!E176:F176, template_label_missing_value) &gt; 0,
    template_label_missing_value,
    IF(COUNTIF('Environmental Disclosures'!E176:F176, template_label_ok) &gt; 0,
        template_label_ok,
        "-"))</f>
        <v>-</v>
      </c>
    </row>
    <row r="31" spans="2:3" x14ac:dyDescent="0.35">
      <c r="B31" s="366" t="str">
        <f>template_label_b7_resource_use_circular_economy_and_waste_management_validation</f>
        <v>· B7 - Resource use, circular economy and waste management</v>
      </c>
      <c r="C31" s="367" t="str">
        <f>IF(COUNTIF(C32:C34, template_label_error_plus_missing_value_plus_value_inconsistency) &gt; 0, template_label_error_plus_missing_value_plus_value_inconsistency,
IF(COUNTIF(C32:C34, template_label_error_plus_value_inconsistency) &gt; 0, template_label_error_plus_value_inconsistency,
IF(COUNTIF(C32:C34, template_label_error_plus_missing_value) &gt; 0, template_label_error_plus_missing_value,
IF(COUNTIF(C32:C34, template_label_error) &gt; 0, template_label_error,
IF(COUNTIF(C32:C34, template_label_missing_value_plus_value_inconsistency) &gt; 0, template_label_missing_value_plus_value_inconsistency,
IF(COUNTIF(C32:C34, template_label_value_inconsistency) &gt; 0, template_label_value_inconsistency,
IF(COUNTIF(C32:C34, template_label_missing_value) &gt; 0, template_label_missing_value,
IF(COUNTIF(C32:C34, template_label_ok) = ROWS(C32:C34), template_label_ok,
IF(COUNTIF(C32:C34, "-") = ROWS(C32:C34), "-",
template_label_ok)))))))))</f>
        <v>-</v>
      </c>
    </row>
    <row r="32" spans="2:3" x14ac:dyDescent="0.35">
      <c r="B32" s="450" t="str">
        <f>template_label_description_of_circular_economy_principles_validation</f>
        <v>Description of circular economy principles</v>
      </c>
      <c r="C32" s="367" t="str">
        <f>IF(
AND(
COUNTIF('Environmental Disclosures'!H182:I183, template_label_missing_value) &gt; 0,
COUNTIF('Environmental Disclosures'!H182:I183, template_label_value_inconsistency) = 0,
COUNTIF('Environmental Disclosures'!H182:I183, template_label_ok) &gt;= 0
),
template_label_missing_value,
IF(
AND(
COUNTIF('Environmental Disclosures'!H182:I183, template_label_value_inconsistency) &gt; 0,
COUNTIF('Environmental Disclosures'!H182:I183, template_label_missing_value) = 0,
COUNTIF('Environmental Disclosures'!H182:I183, template_label_ok) &gt;= 0
),
template_label_value_inconsistency,
IF(
AND(
COUNTIF('Environmental Disclosures'!H182:I183, template_label_value_inconsistency) &gt; 0,
COUNTIF('Environmental Disclosures'!H182:I183, template_label_missing_value) &gt; 0,
COUNTIF('Environmental Disclosures'!H182:I183, template_label_ok) &gt;= 0
),
template_label_missing_value_plus_value_inconsistency,
IF(
AND(
COUNTIF('Environmental Disclosures'!H182:I183, template_label_value_inconsistency) = 0,
COUNTIF('Environmental Disclosures'!H182:I183, template_label_missing_value) = 0,
COUNTIF('Environmental Disclosures'!H182:I183, template_label_ok) &gt; 0
),
template_label_ok,
"-"
)
)
))</f>
        <v>-</v>
      </c>
    </row>
    <row r="33" spans="2:3" x14ac:dyDescent="0.35">
      <c r="B33" s="450" t="str">
        <f>template_label_waste_generated_validation</f>
        <v>Waste generated</v>
      </c>
      <c r="C33" s="367" t="str">
        <f>IF(
    AND(
        COUNTIF('Environmental Disclosures'!M189:M204, template_label_error) &gt; 0,
        COUNTIF('Environmental Disclosures'!M189:M204, template_label_missing_value) &gt; 0,
        COUNTIF('Environmental Disclosures'!M189:M204, template_label_value_inconsistency) &gt; 0
    ),
    template_label_error_plus_missing_value_plus_value_inconsistency,
IF(
    AND(
        COUNTIF('Environmental Disclosures'!M189:M204, template_label_error) &gt; 0,
        COUNTIF('Environmental Disclosures'!M189:M204, template_label_value_inconsistency) &gt; 0,
        COUNTIF('Environmental Disclosures'!M189:M204, template_label_missing_value) = 0
    ),
    template_label_error_plus_value_inconsistency,
IF(
    AND(
        COUNTIF('Environmental Disclosures'!M189:M204, template_label_error) &gt; 0,
        COUNTIF('Environmental Disclosures'!M189:M204, template_label_missing_value) &gt; 0,
        COUNTIF('Environmental Disclosures'!M189:M204, template_label_value_inconsistency) = 0
    ),
    template_label_error_plus_missing_value,
IF(
    AND(
        COUNTIF('Environmental Disclosures'!M189:M204, template_label_missing_value) &gt; 0,
        COUNTIF('Environmental Disclosures'!M189:M204, template_label_value_inconsistency) &gt; 0,
        COUNTIF('Environmental Disclosures'!M189:M204, template_label_error) = 0
    ),
    template_label_missing_value_plus_value_inconsistency,
IF(
    AND(
        COUNTIF('Environmental Disclosures'!M189:M204, template_label_error) &gt; 0,
        COUNTIF('Environmental Disclosures'!M189:M204, template_label_missing_value) = 0,
        COUNTIF('Environmental Disclosures'!M189:M204, template_label_value_inconsistency) = 0
    ),
    template_label_error,
IF(
    AND(
        COUNTIF('Environmental Disclosures'!M189:M204, template_label_missing_value) &gt; 0,
        COUNTIF('Environmental Disclosures'!M189:M204, template_label_error) = 0,
        COUNTIF('Environmental Disclosures'!M189:M204, template_label_value_inconsistency) = 0
    ),
    template_label_missing_value,
IF(
    AND(
        COUNTIF('Environmental Disclosures'!M189:M204, template_label_value_inconsistency) &gt; 0,
        COUNTIF('Environmental Disclosures'!M189:M204, template_label_error) = 0,
        COUNTIF('Environmental Disclosures'!M189:M204, template_label_missing_value) = 0
    ),
    template_label_value_inconsistency,
IF(
    AND(
        COUNTIF('Environmental Disclosures'!M189:M204, template_label_error) = 0,
        COUNTIF('Environmental Disclosures'!M189:M204, template_label_missing_value) = 0,
        COUNTIF('Environmental Disclosures'!M189:M204, template_label_value_inconsistency) = 0,
        COUNTIF('Environmental Disclosures'!M189:M204, template_label_ok) &gt; 0
    ),
    template_label_ok,
"-"
))))))))</f>
        <v>-</v>
      </c>
    </row>
    <row r="34" spans="2:3" x14ac:dyDescent="0.35">
      <c r="B34" s="450" t="str">
        <f>template_label_annual_mass_flow_of_relevant_materials_used_validation</f>
        <v>Annual mass-flow of relevant materials used</v>
      </c>
      <c r="C34" s="367" t="str">
        <f>IF(COUNTIF('Environmental Disclosures'!K216:K230, template_label_missing_value) &gt; 0,
    template_label_missing_value,
    IF(COUNTIF('Environmental Disclosures'!K216:K230, template_label_ok) &gt; 0,
        template_label_ok,
        "-"))</f>
        <v>-</v>
      </c>
    </row>
    <row r="35" spans="2:3" x14ac:dyDescent="0.35">
      <c r="B35" s="371" t="str">
        <f>template_label_social_disclosures_validation</f>
        <v>Social Disclosures</v>
      </c>
      <c r="C35" s="365"/>
    </row>
    <row r="36" spans="2:3" x14ac:dyDescent="0.35">
      <c r="B36" s="451" t="str">
        <f>template_label_b8_workforce_general_characteristics_validation</f>
        <v>· B8 - Workforce - General characteristics</v>
      </c>
      <c r="C36" s="367" t="str">
        <f>IF(COUNTIF(C37:C40, template_label_error_plus_missing_value_plus_value_inconsistency) &gt; 0, template_label_error_plus_missing_value_plus_value_inconsistency,
IF(COUNTIF(C37:C40, template_label_error_plus_value_inconsistency) &gt; 0, template_label_error_plus_value_inconsistency,
IF(COUNTIF(C37:C40, template_label_error_plus_missing_value) &gt; 0, template_label_error_plus_missing_value,
IF(COUNTIF(C37:C40, template_label_error) &gt; 0, template_label_error,
IF(COUNTIF(C37:C40, template_label_missing_value_plus_value_inconsistency) &gt; 0, template_label_missing_value_plus_value_inconsistency,
IF(COUNTIF(C37:C40, template_label_value_inconsistency) &gt; 0, template_label_value_inconsistency,
IF(COUNTIF(C37:C40, template_label_missing_value) &gt; 0, template_label_missing_value,
IF(COUNTIF(C37:C40, template_label_ok) = ROWS(C37:C40), template_label_ok,
IF(COUNTIF(C37:C40, "-") = ROWS(C37:C40), "-",
template_label_ok)))))))))</f>
        <v>-</v>
      </c>
    </row>
    <row r="37" spans="2:3" x14ac:dyDescent="0.35">
      <c r="B37" s="450" t="str">
        <f>template_label_type_of_contract_validation</f>
        <v>Type of contract</v>
      </c>
      <c r="C37" s="367" t="str">
        <f>IF(COUNTIF('Social Disclosures'!H10, template_label_missing_value) &gt; 0,
    template_label_missing_value,
    IF(COUNTIF('Social Disclosures'!H10, template_label_ok) &gt; 0,
        template_label_ok,
        "-"))</f>
        <v>-</v>
      </c>
    </row>
    <row r="38" spans="2:3" x14ac:dyDescent="0.35">
      <c r="B38" s="450" t="str">
        <f>template_label_gender_validation</f>
        <v>Gender</v>
      </c>
      <c r="C38" s="367" t="str">
        <f>IF(COUNTIF('Social Disclosures'!H18:H21, template_label_missing_value) &gt; 0,
    template_label_missing_value,
    IF(COUNTIF('Social Disclosures'!H18:H21, template_label_ok) &gt; 0,
        template_label_ok,
        "-"))</f>
        <v>-</v>
      </c>
    </row>
    <row r="39" spans="2:3" x14ac:dyDescent="0.35">
      <c r="B39" s="450" t="str">
        <f>template_label_country_of_employment_validation</f>
        <v>Country of employment</v>
      </c>
      <c r="C39" s="367" t="str">
        <f>IF(COUNTIF('Social Disclosures'!I29:I38, template_label_missing_value) &gt; 0,
    template_label_missing_value,
    IF(COUNTIF('Social Disclosures'!I29:I38, template_label_ok) &gt; 0,
        template_label_ok,
        "-"))</f>
        <v>-</v>
      </c>
    </row>
    <row r="40" spans="2:3" x14ac:dyDescent="0.35">
      <c r="B40" s="450" t="str">
        <f>template_label_turnover_rate_validation</f>
        <v>Turnover rate</v>
      </c>
      <c r="C40" s="367" t="str">
        <f>IF(COUNTIF('Social Disclosures'!I44:I46, template_label_missing_value) &gt; 0,
    template_label_missing_value,
    IF(COUNTIF('Social Disclosures'!I44:I46, template_label_ok) &gt; 0,
        template_label_ok,
        "-"))</f>
        <v>-</v>
      </c>
    </row>
    <row r="41" spans="2:3" x14ac:dyDescent="0.35">
      <c r="B41" s="366" t="str">
        <f>template_label_b9_workforce_health_and_safety_validation</f>
        <v>· B9 - Workforce – Health and safety</v>
      </c>
      <c r="C41" s="367" t="str">
        <f>IF(COUNTIF('Social Disclosures'!I50:I54, template_label_missing_value) &gt; 0,
    template_label_missing_value,
    IF(COUNTIF('Social Disclosures'!I50:I54, template_label_ok) &gt; 0,
        template_label_ok,
        "-"))</f>
        <v>-</v>
      </c>
    </row>
    <row r="42" spans="2:3" x14ac:dyDescent="0.35">
      <c r="B42" s="368" t="str">
        <f>template_label_b10_workforce_remuneration_collective_bargaining_and_training_validation</f>
        <v>· B10 - Workforce – Remuneration, collective bargaining and training</v>
      </c>
      <c r="C42" s="367" t="str">
        <f>IF(COUNTIF('Social Disclosures'!I67:I70, template_label_missing_value) &gt; 0,
    template_label_missing_value,
    IF(COUNTIF('Social Disclosures'!I67:I70, template_label_ok) &gt; 0,
        template_label_ok,
        "-"))</f>
        <v>-</v>
      </c>
    </row>
    <row r="43" spans="2:3" x14ac:dyDescent="0.35">
      <c r="B43" s="371" t="str">
        <f>template_label_governance_disclosures_validation</f>
        <v>Governance Disclosures</v>
      </c>
      <c r="C43" s="365"/>
    </row>
    <row r="44" spans="2:3" x14ac:dyDescent="0.35">
      <c r="B44" s="368" t="str">
        <f>template_label_b11_convictions_and_fines_for_corruption_and_bribery_validation</f>
        <v>· B11 - Convictions and fines for corruption and bribery</v>
      </c>
      <c r="C44" s="367" t="str">
        <f>IF(COUNTIF('Governance Disclosures'!I6:I7, template_label_missing_value) &gt; 0,
    template_label_missing_value,
    IF(COUNTIF('Governance Disclosures'!I6:I7, template_label_ok) &gt; 0,
        template_label_ok,
        "-"))</f>
        <v>-</v>
      </c>
    </row>
    <row r="45" spans="2:3" ht="18.5" x14ac:dyDescent="0.45">
      <c r="B45" s="448" t="str">
        <f>template_label_comprehensive_module_validation</f>
        <v>Comprehensive Module</v>
      </c>
      <c r="C45" s="369"/>
    </row>
    <row r="46" spans="2:3" x14ac:dyDescent="0.35">
      <c r="B46" s="364" t="str">
        <f>template_label_general_information_validation</f>
        <v>General Information</v>
      </c>
      <c r="C46" s="365"/>
    </row>
    <row r="47" spans="2:3" x14ac:dyDescent="0.35">
      <c r="B47" s="449" t="str">
        <f>template_label_c1_strategy_business_model_and_sustainability_related_initiatives_validation</f>
        <v>· C1 - Strategy: Business Model and Sustainability – Related Initiatives</v>
      </c>
      <c r="C47" s="367" t="str">
        <f>IF(COUNTIF('General Information'!H155:H161, template_label_missing_value) &gt; 0,
    template_label_missing_value,
    IF(COUNTIF('General Information'!H155:H161, template_label_ok) &gt; 0,
        template_label_ok,
        "-"))</f>
        <v>-</v>
      </c>
    </row>
    <row r="48" spans="2:3" x14ac:dyDescent="0.35">
      <c r="B48" s="449" t="str">
        <f>template_label_c2_description_of_practices_policies_and_future_initiatives_for_transitioning_towards_a_more_sustainable_economy_validation</f>
        <v>· C2 - Description of practices, policies and future initiatives for transitioning towards a more sustainable economy</v>
      </c>
      <c r="C48" s="367" t="str">
        <f>IF(COUNTIF('General Information'!H149:H151, template_label_missing_value) &gt; 0,
    template_label_missing_value,
    IF(COUNTIF('General Information'!H149:H151, template_label_ok) &gt; 0,
        template_label_ok,
        "-"))</f>
        <v>-</v>
      </c>
    </row>
    <row r="49" spans="2:3" x14ac:dyDescent="0.35">
      <c r="B49" s="371" t="str">
        <f>template_label_environmental_disclosures_validation</f>
        <v>Environmental Disclosures</v>
      </c>
      <c r="C49" s="365"/>
    </row>
    <row r="50" spans="2:3" x14ac:dyDescent="0.35">
      <c r="B50" s="451" t="str">
        <f>template_label_c3_ghg_reduction_targets_and_climate_transition_validation</f>
        <v>· C3 - GHG reduction targets and climate transition</v>
      </c>
      <c r="C50" s="367" t="str">
        <f>IF(COUNTIF(C51:C53, template_label_error_plus_missing_value_plus_value_inconsistency) &gt; 0, template_label_error_plus_missing_value_plus_value_inconsistency,
IF(COUNTIF(C51:C53, template_label_error_plus_value_inconsistency) &gt; 0, template_label_error_plus_value_inconsistency,
IF(COUNTIF(C51:C53, template_label_error_plus_missing_value) &gt; 0, template_label_error_plus_missing_value,
IF(COUNTIF(C51:C53, template_label_error) &gt; 0, template_label_error,
IF(COUNTIF(C51:C53, template_label_missing_value_plus_value_inconsistency) &gt; 0, template_label_missing_value_plus_value_inconsistency,
IF(COUNTIF(C51:C53, template_label_value_inconsistency) &gt; 0, template_label_value_inconsistency,
IF(COUNTIF(C51:C53, template_label_missing_value) &gt; 0, template_label_missing_value,
IF(AND(
       COUNTIFS(C51:C53, "&lt;&gt;OK", C51:C53, "&lt;&gt;-") = 0,
       COUNTIF(C51:C53, template_label_ok) &gt; 0
   ), template_label_ok,
IF(COUNTIF(C51:C53, "-") = ROWS(C51:C53), "-",
"")))))))))</f>
        <v>-</v>
      </c>
    </row>
    <row r="51" spans="2:3" x14ac:dyDescent="0.35">
      <c r="B51" s="450" t="str">
        <f>template_label_ghg_reduction_targets_in_tc02e_validation</f>
        <v>GHG reduction targets (in tC02e)</v>
      </c>
      <c r="C51" s="367" t="str">
        <f>IF(AND('General Information'!E32 = "Option A (Basic Module only)",
        COUNTA('Environmental Disclosures'!G21:G24) = 0),
    "-",
IF(COUNTIF('Environmental Disclosures'!L52, template_label_missing_value) &gt; 0,
    template_label_missing_value,
IF(COUNTIF('Environmental Disclosures'!L52, template_label_ok) &gt; 0,
    template_label_ok,
"-")))</f>
        <v>-</v>
      </c>
    </row>
    <row r="52" spans="2:3" x14ac:dyDescent="0.35">
      <c r="B52" s="450" t="str">
        <f>template_label_disclosure_of_list_of_main_actions_the_entity_seeks_in_order_to_achieve_its_targets_validation</f>
        <v>Disclosure of list of main actions the entity seeks in order  to achieve its targets</v>
      </c>
      <c r="C52" s="367" t="str">
        <f>IF(COUNTIF('Environmental Disclosures'!L52, template_label_missing_value) &gt; 0,
    template_label_missing_value,
    IF(COUNTIF('Environmental Disclosures'!L52, template_label_ok) &gt; 0,
        template_label_ok,
        "-"))</f>
        <v>-</v>
      </c>
    </row>
    <row r="53" spans="2:3" x14ac:dyDescent="0.35">
      <c r="B53" s="450" t="str">
        <f>template_label_transition_plan_for_undertakings_operating_in_high_climate_impact_sectors_validation</f>
        <v>Transition plan for undertakings operating in high climate impact sectors</v>
      </c>
      <c r="C53" s="367" t="str">
        <f>IF(
AND(
COUNTIF('Environmental Disclosures'!L57:L59, template_label_missing_value) &gt; 0,
COUNTIF('Environmental Disclosures'!L57:L59, template_label_error) = 0,
COUNTIF('Environmental Disclosures'!L57:L59, template_label_ok) &gt;= 0
),
template_label_missing_value,
IF(
AND(
COUNTIF('Environmental Disclosures'!L57:L59, template_label_error) &gt; 0,
COUNTIF('Environmental Disclosures'!L57:L59, template_label_missing_value) = 0,
COUNTIF('Environmental Disclosures'!L57:L59, template_label_ok) &gt;= 0
),
template_label_error,
IF(
AND(
COUNTIF('Environmental Disclosures'!L57:L59, template_label_error) &gt; 0,
COUNTIF('Environmental Disclosures'!L57:L59, template_label_missing_value) &gt; 0,
COUNTIF('Environmental Disclosures'!L57:L59, template_label_ok) &gt;= 0
),
template_label_error_plus_missing_value,
IF(
AND(
COUNTIF('Environmental Disclosures'!L57:L59, template_label_error) = 0,
COUNTIF('Environmental Disclosures'!L57:L59, template_label_missing_value) = 0,
COUNTIF('Environmental Disclosures'!L57:L59, template_label_ok) &gt; 0
),
template_label_ok,
"-"
)
)
))</f>
        <v>-</v>
      </c>
    </row>
    <row r="54" spans="2:3" x14ac:dyDescent="0.35">
      <c r="B54" s="366" t="str">
        <f>template_label_c4_climate_risks_validation</f>
        <v>· C4 - Climate risks</v>
      </c>
      <c r="C54" s="367" t="str">
        <f>IF(COUNTIF('Environmental Disclosures'!L236:L240, template_label_missing_value) &gt; 0,
    template_label_missing_value,
    IF(COUNTIF('Environmental Disclosures'!L236:L240, template_label_ok) &gt; 0,
        template_label_ok,
        "-"))</f>
        <v>-</v>
      </c>
    </row>
    <row r="55" spans="2:3" x14ac:dyDescent="0.35">
      <c r="B55" s="371" t="str">
        <f>template_label_social_disclosures_validation</f>
        <v>Social Disclosures</v>
      </c>
      <c r="C55" s="365"/>
    </row>
    <row r="56" spans="2:3" x14ac:dyDescent="0.35">
      <c r="B56" s="366" t="str">
        <f>template_label_c5_additional_general_workforce_characteristics_validation</f>
        <v>· C5 - Additional (general) workforce characteristics</v>
      </c>
      <c r="C56" s="367" t="str">
        <f>IF(COUNTIF('Social Disclosures'!I75:I79, template_label_ok) &gt; 0,
    template_label_ok,
    "-")</f>
        <v>-</v>
      </c>
    </row>
    <row r="57" spans="2:3" x14ac:dyDescent="0.35">
      <c r="B57" s="366" t="str">
        <f>template_label_c6_additional_own_workforce_information_human_rights_policies_and_processes_validation</f>
        <v>· C6 - Additional own workforce information - Human rights policies and processes</v>
      </c>
      <c r="C57" s="367" t="str">
        <f>IF(
AND(
COUNTIF('Social Disclosures'!I82:I91, template_label_missing_value) &gt; 0,
COUNTIF('Social Disclosures'!I82:I91, template_label_value_inconsistency) = 0,
COUNTIF('Social Disclosures'!I82:I91, template_label_ok) &gt;= 0
),
template_label_missing_value,
IF(
AND(
COUNTIF('Social Disclosures'!I82:I91, template_label_value_inconsistency) &gt; 0,
COUNTIF('Social Disclosures'!I82:I91, template_label_missing_value) = 0,
COUNTIF('Social Disclosures'!I82:I91, template_label_ok) &gt;= 0
),
template_label_value_inconsistency,
IF(
AND(
COUNTIF('Social Disclosures'!I82:I91, template_label_value_inconsistency) &gt; 0,
COUNTIF('Social Disclosures'!I82:I91, template_label_missing_value) &gt; 0,
COUNTIF('Social Disclosures'!I82:I91, template_label_ok) &gt;= 0
),
template_label_missing_value_plus_value_inconsistency,
IF(
AND(
COUNTIF('Social Disclosures'!I82:I91, template_label_value_inconsistency) = 0,
COUNTIF('Social Disclosures'!I82:I91, template_label_missing_value) = 0,
COUNTIF('Social Disclosures'!I82:I91, template_label_ok) &gt; 0
),
template_label_ok,
"-"
)
)
))</f>
        <v>-</v>
      </c>
    </row>
    <row r="58" spans="2:3" x14ac:dyDescent="0.35">
      <c r="B58" s="368" t="str">
        <f>template_label_c7_severe_negative_human_rights_incidents_validation</f>
        <v>· C7 - Severe negative human rights incidents</v>
      </c>
      <c r="C58" s="373" t="str">
        <f>IF(
AND(
COUNTIF('Social Disclosures'!I94:I104, template_label_missing_value) &gt; 0,
COUNTIF('Social Disclosures'!I94:I104, template_label_value_inconsistency) = 0,
COUNTIF('Social Disclosures'!I94:I104, template_label_ok) &gt;= 0
),
template_label_missing_value,
IF(
AND(
COUNTIF('Social Disclosures'!I94:I104, template_label_value_inconsistency) &gt; 0,
COUNTIF('Social Disclosures'!I94:I104, template_label_missing_value) = 0,
COUNTIF('Social Disclosures'!I94:I104, template_label_ok) &gt;= 0
),
template_label_value_inconsistency,
IF(
AND(
COUNTIF('Social Disclosures'!I94:I104, template_label_value_inconsistency) &gt; 0,
COUNTIF('Social Disclosures'!I94:I104, template_label_missing_value) &gt; 0,
COUNTIF('Social Disclosures'!I94:I104, template_label_ok) &gt;= 0
),
template_label_missing_value_plus_value_inconsistency,
IF(
AND(
COUNTIF('Social Disclosures'!I94:I104, template_label_value_inconsistency) = 0,
COUNTIF('Social Disclosures'!I94:I104, template_label_missing_value) = 0,
COUNTIF('Social Disclosures'!I94:I104, template_label_ok) &gt; 0
),
template_label_ok,
"-"
)
)
))</f>
        <v>-</v>
      </c>
    </row>
    <row r="59" spans="2:3" x14ac:dyDescent="0.35">
      <c r="B59" s="374" t="str">
        <f>template_label_governance_disclosures_validation</f>
        <v>Governance Disclosures</v>
      </c>
      <c r="C59" s="369"/>
    </row>
    <row r="60" spans="2:3" x14ac:dyDescent="0.35">
      <c r="B60" s="370" t="str">
        <f>template_label_c8_revenues_from_certain_sectors_and_exclusion_from_eu_reference_benchmarks_validation</f>
        <v>· C8 - Revenues from certain activities and exclusion from EU reference benchmarks</v>
      </c>
      <c r="C60" s="367" t="str">
        <f>IF(COUNTIF(C61:C62, template_label_error_plus_missing_value_plus_value_inconsistency) &gt; 0, template_label_error_plus_missing_value_plus_value_inconsistency,
IF(COUNTIF(C61:C62, template_label_error_plus_value_inconsistency) &gt; 0, template_label_error_plus_value_inconsistency,
IF(COUNTIF(C61:C62, template_label_error_plus_missing_value) &gt; 0, template_label_error_plus_missing_value,
IF(COUNTIF(C61:C62, template_label_error) &gt; 0, template_label_error,
IF(COUNTIF(C61:C62, template_label_missing_value_plus_value_inconsistency) &gt; 0, template_label_missing_value_plus_value_inconsistency,
IF(COUNTIF(C61:C62, template_label_value_inconsistency) &gt; 0, template_label_value_inconsistency,
IF(COUNTIF(C61:C62, template_label_missing_value) &gt; 0, template_label_missing_value,
IF(COUNTIF(C61:C62, template_label_ok) = ROWS(C61:C62), template_label_ok,
IF(COUNTIF(C61:C62, "-") = ROWS(C61:C62), "-",
template_label_ok)))))))))</f>
        <v>-</v>
      </c>
    </row>
    <row r="61" spans="2:3" x14ac:dyDescent="0.35">
      <c r="B61" s="446" t="str">
        <f>template_label_revenues_from_certain_sectors_validation</f>
        <v>Revenues from certain activities</v>
      </c>
      <c r="C61" s="367" t="str">
        <f>IF(COUNTIF('Governance Disclosures'!I12:I18, template_label_value_inconsistency) &gt; 0,
    template_label_value_inconsistency,
    IF(COUNTIF('Governance Disclosures'!I12:I18, template_label_ok) &gt; 0,
        template_label_ok,
        "-"))</f>
        <v>-</v>
      </c>
    </row>
    <row r="62" spans="2:3" x14ac:dyDescent="0.35">
      <c r="B62" s="446" t="str">
        <f>template_label_exclusion_from_eu_reference_benchmarks_validation</f>
        <v>Exclusion from EU reference benchmarks</v>
      </c>
      <c r="C62" s="367" t="str">
        <f>IF(COUNTIF('Governance Disclosures'!I22:I26, template_label_missing_value) &gt; 0,
    template_label_missing_value,
    IF(COUNTIF('Governance Disclosures'!I22:I26, template_label_ok) &gt; 0,
        template_label_ok,
        "-"))</f>
        <v>-</v>
      </c>
    </row>
    <row r="63" spans="2:3" x14ac:dyDescent="0.35">
      <c r="B63" s="452" t="str">
        <f>template_label_c9_gender_diversity_ratio_in_the_governance_body_validation</f>
        <v>· C9 - Gender diversity ratio in the governance body</v>
      </c>
      <c r="C63" s="373" t="str">
        <f>IF(COUNTIF('Governance Disclosures'!I31:I32, template_label_missing_value) &gt; 0,
    template_label_missing_value,
    IF(COUNTIF('Governance Disclosures'!I31:I32, template_label_ok) &gt; 0,
        template_label_ok,
        "-"))</f>
        <v>-</v>
      </c>
    </row>
    <row r="64" spans="2:3" x14ac:dyDescent="0.35">
      <c r="B64" s="375" t="str">
        <f>template_label_additional_disclosures_validation</f>
        <v>Additional Disclosures</v>
      </c>
      <c r="C64" s="369"/>
    </row>
    <row r="65" spans="2:3" x14ac:dyDescent="0.35">
      <c r="B65" s="449" t="str">
        <f>template_label_disclosure_of_any_other_general_and_or_entity_specific_information_on_the_reporting_period_validation</f>
        <v>· Disclosure of any other general and/or entity specific information on the reporting period</v>
      </c>
      <c r="C65" s="373" t="str">
        <f>IF('General Information'!I165 = template_label_ok, template_label_ok, "")</f>
        <v/>
      </c>
    </row>
    <row r="66" spans="2:3" x14ac:dyDescent="0.35">
      <c r="B66" s="368" t="str">
        <f>template_label_disclosure_of_any_other_environmental_and_or_entity_specific_environmental_disclosures_validation</f>
        <v>· Disclosure of any other environmental and/or entity specific environmental disclosures</v>
      </c>
      <c r="C66" s="373" t="str">
        <f>IF('Environmental Disclosures'!M244 = template_label_ok, template_label_ok, "")</f>
        <v/>
      </c>
    </row>
    <row r="67" spans="2:3" x14ac:dyDescent="0.35">
      <c r="B67" s="368" t="str">
        <f>template_label_disclosure_of_any_other_social_and_or_entity_specific_social_disclosures_validation</f>
        <v>· Disclosure of any other social and/or entity specific social disclosures</v>
      </c>
      <c r="C67" s="373" t="str">
        <f>IF('Social Disclosures'!I110 = template_label_ok, template_label_ok, "")</f>
        <v/>
      </c>
    </row>
    <row r="68" spans="2:3" ht="15" thickBot="1" x14ac:dyDescent="0.4">
      <c r="B68" s="453" t="str">
        <f>template_label_disclosure_of_any_other_governance_and_or_entity_specific_governance_disclosures_validation</f>
        <v>· Disclosure of any other governance and/or entity specific governance disclosures</v>
      </c>
      <c r="C68" s="376" t="str">
        <f>IF('Governance Disclosures'!I38 = template_label_ok, template_label_ok, "")</f>
        <v/>
      </c>
    </row>
  </sheetData>
  <sheetProtection algorithmName="SHA-512" hashValue="KsRn+Gg58tdCzNMIzg4KKzksdQA+SNwHzBJAyOqfbVH7hWRogt0YGSy8BksZ6HeKsGgw7uHIW5IqB8cL8LXtyw==" saltValue="3/8mpKHXwr/wPPTRgSRIqA==" spinCount="100000" sheet="1" formatColumns="0" formatRows="0"/>
  <conditionalFormatting sqref="B3">
    <cfRule type="expression" dxfId="340" priority="371">
      <formula>B$44="INCOMPLETE"</formula>
    </cfRule>
    <cfRule type="expression" dxfId="339" priority="372">
      <formula>B$44="COMPLETE"</formula>
    </cfRule>
  </conditionalFormatting>
  <conditionalFormatting sqref="C2">
    <cfRule type="expression" dxfId="338" priority="12">
      <formula>C$58="INCOMPLETE"</formula>
    </cfRule>
    <cfRule type="expression" dxfId="337" priority="13">
      <formula>C$58="COMPLETE"</formula>
    </cfRule>
  </conditionalFormatting>
  <conditionalFormatting sqref="C3">
    <cfRule type="expression" dxfId="336" priority="10">
      <formula>$C$3=template_label_incomplete</formula>
    </cfRule>
    <cfRule type="expression" dxfId="335" priority="11">
      <formula>$C$3=template_label_complete</formula>
    </cfRule>
  </conditionalFormatting>
  <conditionalFormatting sqref="C6:C8 C10:C45 C47:C68">
    <cfRule type="expression" dxfId="334" priority="1">
      <formula>$C6=template_label_value_inconsistency</formula>
    </cfRule>
    <cfRule type="expression" dxfId="333" priority="2">
      <formula>$C6=template_label_invalid_url</formula>
    </cfRule>
    <cfRule type="expression" dxfId="332" priority="3">
      <formula>$C6=template_label_error_plus_missing_value_plus_value_inconsistency</formula>
    </cfRule>
    <cfRule type="expression" dxfId="331" priority="4">
      <formula>$C6=template_label_error_plus_value_inconsistency</formula>
    </cfRule>
    <cfRule type="expression" dxfId="330" priority="5">
      <formula>$C6=template_label_error_plus_missing_value</formula>
    </cfRule>
    <cfRule type="expression" dxfId="329" priority="6">
      <formula>$C6=template_label_missing_value_plus_value_inconsistency</formula>
    </cfRule>
    <cfRule type="expression" dxfId="328" priority="7">
      <formula>$C6=template_label_missing_value</formula>
    </cfRule>
    <cfRule type="expression" dxfId="327" priority="8">
      <formula>$C6=template_label_error</formula>
    </cfRule>
    <cfRule type="expression" dxfId="326" priority="9">
      <formula>$C6=template_label_ok</formula>
    </cfRule>
  </conditionalFormatting>
  <hyperlinks>
    <hyperlink ref="B6" location="template_information_on_the_report_necessary_for_XBRL" display="· Information on the report necessary for  XBRL" xr:uid="{25A267B9-423F-42B5-B3B3-D5E1CEF1CCD2}"/>
    <hyperlink ref="B5" location="'General Information'!A1" display="General Information" xr:uid="{3BFB2E8E-B9D3-4E7A-BF18-C16AACDE335C}"/>
    <hyperlink ref="B7" location="template_information_on_previous_reporting_period" display="· Information on previous reporting period" xr:uid="{A7B7970B-B829-4E06-98AB-137CDC76DA3F}"/>
    <hyperlink ref="B10" location="template_b1_basis_for_preparation_and_other_undertakings_general_information" display="· B1 - Basis for Preparation" xr:uid="{D3B8ECC2-14C0-4EF6-8D88-0E701043E936}"/>
    <hyperlink ref="B11" location="template_b1_basis_for_preparation_and_other_undertakings_general_information" display="            Basis for Preparation and other undertaking's general information" xr:uid="{DCB9EB33-29ED-498C-82CC-F099A7297C4E}"/>
    <hyperlink ref="B12" location="template_b1_list_of_subsidiaries" display="             List of subsidiaries" xr:uid="{9EAA5EF6-131F-42F1-9145-55B580C93404}"/>
    <hyperlink ref="B13" location="template_b1_disclosure_of_sustainability_related_certifications_or_labels" display="             Disclosure of sustainability-related certification(s) or label(s)" xr:uid="{4D19F8C5-01A7-4A79-B8B9-BD32706D0E62}"/>
    <hyperlink ref="B14" location="template_b1_list_of_sites" display="             List of site(s)" xr:uid="{D243425C-ED64-484D-A378-BCE59FEA1CCA}"/>
    <hyperlink ref="B15" location="template_b2_practices_policies_and_future_initiatives_for_transitioning_towards_a_more_sustainable_economy" display="· B2 - Practices, policies and future initiatives for transitioning towards a more sustainable economy" xr:uid="{2BEF70DB-E383-4335-98C7-0AB1A331EF1C}"/>
    <hyperlink ref="B16" location="template_b2_practices_policies_and_future_initiatives_for_transitioning_towards_a_more_sustainable_economy" display="             Practices, policies and future initiatives for transitioning towards a more sustainable economy" xr:uid="{7FBE981F-5786-4A7C-A533-0218F6C159B3}"/>
    <hyperlink ref="B17" location="template_b2_cooperative_specific_disclosures" display="             Cooperative specific disclosures" xr:uid="{DD0201D3-4CEF-4426-A12D-90862DD79EFB}"/>
    <hyperlink ref="B47" location="template_c1_strategy_business_model_and_sustainability" display="· C1 - Strategy: Business Model and Sustainability – Related Initiatives" xr:uid="{A970C105-76A8-40CF-A869-573C4F419725}"/>
    <hyperlink ref="B48" location="template_c2_description_of_practices_policies_and_future_initiatives_for_transitioning_towards_a_more_sustainable_economy" display="· C2 - Description of practices, policies and future initiatives for transitioning towards a more sustainable economy" xr:uid="{4D6F90F8-3C8A-4FDC-B1E6-ED7043476E17}"/>
    <hyperlink ref="B65" location="template_disclosure_of_any_other_general_and_or_entity_specific_information_on_the_reporting_period" display="· Disclosure of any other general and/or entity specific information on the reporting period" xr:uid="{737F7CD2-A98D-46EC-85E3-472AB0E79697}"/>
    <hyperlink ref="B49" location="'Environmental Disclosures'!A1" display="Environmental Disclosures" xr:uid="{10462CBF-ABB9-48E1-BEB6-C8118F1D11E7}"/>
    <hyperlink ref="B19" location="template_b3_total_energy_consumption_in_MWh" display="· B3 - Energy and greenhouse gas emissions" xr:uid="{08781854-D699-4BBB-904F-9F167F4BC7F5}"/>
    <hyperlink ref="B20" location="template_b3_total_energy_consumption_in_MWh" display="              Total Energy Consumption (in MWh)" xr:uid="{5B575D7E-E621-4CB5-AA93-723609F4A6A2}"/>
    <hyperlink ref="B21" location="template_b3_breakdown_of_energy_consumption_in_MWh" display="              Breakdown of energy consumption (in MWh)" xr:uid="{BE17BD15-69F9-4526-83D2-A71BB8432726}"/>
    <hyperlink ref="B22" location="template_b3_estimated_greenhouse_gas_emissions_considering_the_GHG_protocol_version_2004_in_tCO2e" display="              Estimated Greenhouse Gas Emissions considering the GHG Protocol Version 2004 (in tCO2e)" xr:uid="{D4732330-7C7D-4BC6-82F9-4BAE89A1C083}"/>
    <hyperlink ref="B23" location="template_b3_greenhouse_gas_emission_intensity_per_turnover" display="              Greenhouse gas emission intensity per turnover" xr:uid="{F20C845F-7C19-41D5-A6FD-766FD2E21E04}"/>
    <hyperlink ref="B24" location="template_b4_pollution_of_air_water_and_soil" display="· B4 - Pollution of air, water and soil" xr:uid="{A24D3F48-4D25-4A4D-A316-26A850E78206}"/>
    <hyperlink ref="B25" location="template_B5_sites_in_biodiversity_sensitive_areas" display="· B5 - Biodiversity" xr:uid="{B9BF6D98-8A08-4FA1-B30B-FFEC7C32F3DA}"/>
    <hyperlink ref="B26" location="template_B5_sites_in_biodiversity_sensitive_areas" display="             Sites in biodiversity sensitive areas" xr:uid="{26124F05-E905-448A-9BA5-5DB7BB12E703}"/>
    <hyperlink ref="B27" location="template_b5_biodiversity_land_use" display="             Biodiversity - Land-use" xr:uid="{4A12F42D-8678-45FB-A4B6-98BAF48740A7}"/>
    <hyperlink ref="B28" location="template_b6_water_withdrawal" display="· B6 - Water" xr:uid="{30924859-42AD-4793-BB93-4D15632E75FB}"/>
    <hyperlink ref="B29" location="template_b6_water_withdrawal" display="              Water Withdrawal" xr:uid="{15F35FEF-ED86-4242-BBB3-A19B3AE7F39B}"/>
    <hyperlink ref="B30" location="template_b6_water_consumption" display="              Water Consumption" xr:uid="{1A5C0D0C-A5AD-4D6D-8842-164CB4995CF0}"/>
    <hyperlink ref="B31" location="template_b7_description_of_circular_economy_principles" display="· B7 - Resource use, circular economy and waste management" xr:uid="{E73F13C7-0475-49C2-8004-4B82FA915BBF}"/>
    <hyperlink ref="B32" location="template_b7_description_of_circular_economy_principles" display="               Description of circular economy principles" xr:uid="{D81C731F-C208-41C3-A3C2-15BDAD9FB28C}"/>
    <hyperlink ref="B33" location="template_b7_waste_generated" display="               Waste generated" xr:uid="{4C54828D-61E5-4A13-82DB-6726CB12D26D}"/>
    <hyperlink ref="B34" location="template_b7_annual_mass_flow_of_relevant_materials_used" display="               Annual mass-flow of relevant materials used" xr:uid="{C74D5ECF-F326-4ABD-ACF2-78AC53914DE4}"/>
    <hyperlink ref="B50" location="template_c3_GHG_reduction_targets_in_tC02e" display="· C3 - GHG reduction targets and climate transition" xr:uid="{848C6734-27F4-49E8-9FCC-08706070E8A6}"/>
    <hyperlink ref="B51" location="template_c3_GHG_reduction_targets_in_tC02e" display="              GHG reduction targets (in tC02e)" xr:uid="{03F78659-15D3-426B-904F-EB997820F373}"/>
    <hyperlink ref="B52" location="template_c3_disclosure_of_list_of_main_actions_the_entity_seeks_in_order_to_achieve_its_targets" display="              Disclosure of list of main actions the entity seeks in order  to achieve its targets" xr:uid="{7736370F-5B99-4C0B-90FC-4925E5CC7276}"/>
    <hyperlink ref="B53" location="template_c3_transition_plan_for_undertakings_operating_in_high_climate_impact_sectors" display="              Transition plan for undertakings operating in high climate impact sectors" xr:uid="{9B00468F-D916-42FC-9DB7-512FE564EB6B}"/>
    <hyperlink ref="B54" location="template_c4_climate_risks" display="· C4 - Climate risks" xr:uid="{9A4CE9A4-48DE-4DCC-AA6A-C83BB13ECA6E}"/>
    <hyperlink ref="B66" location="template_disclosure_of_any_other_environmental_and_or_entity_specific_enviromental_disclosures" display="· Disclosure of any other environmental and/or entity specific enviromental disclosures" xr:uid="{3B30C8FE-FF9E-4311-9E4E-4FDD869D911E}"/>
    <hyperlink ref="B55" location="'Social Disclosures'!A1" display="Social Disclosures" xr:uid="{664E23E3-4976-47A2-9233-8DBF4A2B0004}"/>
    <hyperlink ref="B36" location="template_b8_workforce_general_characteristics_type_of_contract" display="· B8 - Workforce - General characteristics" xr:uid="{319673CB-05CE-4E03-98D7-7EFA767A760B}"/>
    <hyperlink ref="B37" location="template_b8_workforce_general_characteristics_type_of_contract" display="              Type of contract" xr:uid="{EF6C1F60-CB03-481A-9593-49F09F25E273}"/>
    <hyperlink ref="B38" location="template_b8_workforce_general_characteristics_gender" display="              Gender" xr:uid="{553B08BC-0FC3-432D-B82C-D06226579BD6}"/>
    <hyperlink ref="B39" location="template_b8_workforce_general_characteristics_country_of_employment" display="              Country of employment" xr:uid="{33734E25-2845-4F90-BCB6-E86394EDCA24}"/>
    <hyperlink ref="B40" location="template_b8_workforce_general_characteristics_turnover_rate" display="              Turnover rate" xr:uid="{F6700308-E350-44BD-87E8-4DF952C410CB}"/>
    <hyperlink ref="B41" location="template_b9_workforce_health_and_safety" display="· B9 - Workforce – Health and safety" xr:uid="{A5F3F6AC-150A-4651-8667-6E55FFE385E3}"/>
    <hyperlink ref="B42" location="template_b10_workforce_remuneration_collective_bargaining_and_training" display="· B10 - Workforce – Remuneration, collective bargaining and training " xr:uid="{C3EDD6ED-F5ED-423B-BE89-F63385BBF4A9}"/>
    <hyperlink ref="B56" location="template_c5_additional_general_workforce_characteristics" display="· C5 - Additional (general) workforce characteristics" xr:uid="{12A6D13C-E762-49D9-B9D9-FF10B30E5074}"/>
    <hyperlink ref="B57" location="template_c6_additional_own_workforce_information_human_rights_policies_and_processes" display="· C6 - Additional own workforce information - Human rights policies and processes" xr:uid="{ADA01F7E-1E23-46D3-A6C5-180A4471A463}"/>
    <hyperlink ref="B58" location="template_c7_severe_negative_human_rights_incidents" display="· C7 - Severe negative human rights incidents" xr:uid="{94D3FF8D-39DA-47EF-8F8C-21118A7AC765}"/>
    <hyperlink ref="B67" location="template_disclosure_of_any_other_social_and_or_entity_specific_social_disclosures" display="· Disclosure of any other social and/or entity specific social disclosures" xr:uid="{C461AEC8-E547-4D3E-985E-464AE7DE0614}"/>
    <hyperlink ref="B59" location="'Governance Disclosures'!A1" display="Governance Disclosures" xr:uid="{DB065620-D288-425D-A3F6-B94563629CD2}"/>
    <hyperlink ref="B44" location="template_b11_convictions_and_fines_for_corruption_and_bribery" display="· B11 - Convictions and fines for corruption and bribery" xr:uid="{DCDB2FE8-D2A1-470C-AEE7-1A53DE3C6A56}"/>
    <hyperlink ref="B60" location="template_c8_revenues_from_certain_sectors" display="· C8 - Revenues from certain sectors and exclusion from EU reference benchmarks" xr:uid="{9A39A97B-59DF-4A64-9184-E8CE24890C97}"/>
    <hyperlink ref="B61" location="template_c8_revenues_from_certain_sectors" display="              Revenues from certain sectors" xr:uid="{C95EF8C3-FA9B-4CEE-8D33-44BBFD20DB8E}"/>
    <hyperlink ref="B62" location="template_c8_exclusion_from_EU_reference_benchmarks" display="              Exclusion from EU reference benchmarks" xr:uid="{686FE336-7658-4083-B1D8-2A0952B0A262}"/>
    <hyperlink ref="B63" location="template_c9_gender_diversity_ratio_in_the_governance_body" display="· C9 - Gender diversity ratio in the governance body" xr:uid="{8744655C-A8E1-41B4-9ACB-ED49B581199E}"/>
    <hyperlink ref="B68" location="template_disclosure_of_any_other_governance_and_or_entity_specific_governance_disclosures" display="· Disclosure of any other governance and/or entity specific governance disclosures" xr:uid="{A24B95B2-E94D-40C8-8CF7-1A8C1D3E88B4}"/>
    <hyperlink ref="B9" location="'General Information'!A1" display="General Information" xr:uid="{8E3A83E8-4322-4B9A-8B41-51DE5C1FB320}"/>
    <hyperlink ref="B46" location="'General Information'!A1" display="General Information" xr:uid="{8D1A7217-DD9F-4D14-8E62-DF0CE7521CD6}"/>
    <hyperlink ref="B35" location="'Social Disclosures'!A1" display="Social Disclosures" xr:uid="{5005ADE5-99EC-42B4-8AAE-6D7FF266EFE1}"/>
    <hyperlink ref="B43" location="'Governance Disclosures'!A1" display="Governance Disclosures" xr:uid="{3A78DB22-3150-4E53-A3E3-AF5505C487EE}"/>
    <hyperlink ref="B18" location="'Environmental Disclosures'!A1" display="Environmental Disclosures" xr:uid="{7718B422-B5A6-477E-8388-A9804BDB4D4F}"/>
  </hyperlinks>
  <pageMargins left="0.7" right="0.7" top="0.75" bottom="0.75" header="0.3" footer="0.3"/>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67E04-6DA5-4708-A51E-89E844EF3733}">
  <sheetPr codeName="Sheet2"/>
  <dimension ref="A1:Q165"/>
  <sheetViews>
    <sheetView showGridLines="0" zoomScaleNormal="100" workbookViewId="0"/>
  </sheetViews>
  <sheetFormatPr defaultColWidth="8.90625" defaultRowHeight="14.5" outlineLevelRow="2" x14ac:dyDescent="0.35"/>
  <cols>
    <col min="1" max="2" width="10" bestFit="1" customWidth="1"/>
    <col min="3" max="3" width="54.90625" customWidth="1"/>
    <col min="4" max="4" width="56.36328125" customWidth="1"/>
    <col min="5" max="5" width="41.36328125" customWidth="1"/>
    <col min="6" max="6" width="23.6328125" style="2" bestFit="1" customWidth="1"/>
    <col min="7" max="7" width="13.54296875" bestFit="1" customWidth="1"/>
    <col min="8" max="8" width="91.6328125" customWidth="1"/>
    <col min="9" max="9" width="13.36328125" bestFit="1" customWidth="1"/>
    <col min="10" max="10" width="25.6328125" bestFit="1" customWidth="1"/>
    <col min="11" max="11" width="43.54296875" bestFit="1" customWidth="1"/>
    <col min="12" max="12" width="11" customWidth="1"/>
    <col min="13" max="13" width="8.6328125" customWidth="1"/>
    <col min="14" max="14" width="24" customWidth="1"/>
    <col min="15" max="15" width="15.54296875" customWidth="1"/>
    <col min="16" max="16" width="58" customWidth="1"/>
    <col min="17" max="17" width="34.54296875" customWidth="1"/>
    <col min="18" max="18" width="25" customWidth="1"/>
  </cols>
  <sheetData>
    <row r="1" spans="1:11" ht="44" thickBot="1" x14ac:dyDescent="0.4">
      <c r="A1" s="388" t="str">
        <f>template_label_paragraph_reference</f>
        <v>Paragraph Reference</v>
      </c>
      <c r="B1" s="388" t="str">
        <f>template_label_paragraph_guidance_reference</f>
        <v>Paragraph Guidance Reference</v>
      </c>
    </row>
    <row r="2" spans="1:11" ht="14.4" customHeight="1" x14ac:dyDescent="0.35">
      <c r="A2" s="89"/>
      <c r="B2" s="89"/>
      <c r="C2" s="597" t="str">
        <f>template_label_information_on_the_report_necessary_for_xbrl &amp; " " &amp; template_label_always_to_be_reported</f>
        <v>Information on the report necessary for  XBRL [Always to be reported]</v>
      </c>
      <c r="D2" s="598"/>
      <c r="E2" s="599"/>
    </row>
    <row r="3" spans="1:11" ht="14.4" customHeight="1" x14ac:dyDescent="0.35">
      <c r="A3" s="89"/>
      <c r="B3" s="89"/>
      <c r="C3" s="125" t="str">
        <f>template_label_name_of_the_reporting_entity</f>
        <v>Name of the reporting entity</v>
      </c>
      <c r="D3" s="616"/>
      <c r="E3" s="617"/>
      <c r="F3" s="11" t="str">
        <f>IF(D3 = "", template_label_missing_value, template_label_ok)</f>
        <v>MISSING VALUE</v>
      </c>
    </row>
    <row r="4" spans="1:11" ht="14.4" customHeight="1" x14ac:dyDescent="0.35">
      <c r="A4" s="89"/>
      <c r="B4" s="89"/>
      <c r="C4" s="125" t="str">
        <f>template_label_identifier_of_the_reporting_entity</f>
        <v>Identifier of the reporting entity (select and specify on the right)</v>
      </c>
      <c r="D4" s="387"/>
      <c r="E4" s="56"/>
      <c r="F4" s="11" t="str">
        <f>IF(OR(D4 = "", E4 = ""), template_label_missing_value, template_label_ok)</f>
        <v>MISSING VALUE</v>
      </c>
      <c r="G4" t="str">
        <f>template_label_identifier_warning</f>
        <v xml:space="preserve">ℹ️  The entity identifier is a unique ID, that will enable identifying the company that has reported the information. The VSME Standard does not require any specific identifier. An entity identifier is required for the digital reporting. </v>
      </c>
    </row>
    <row r="5" spans="1:11" ht="14.4" customHeight="1" thickBot="1" x14ac:dyDescent="0.4">
      <c r="C5" s="5" t="str">
        <f>template_label_currency_of_the_monetary_values_in_the_report</f>
        <v>Currency of the monetary values in the report</v>
      </c>
      <c r="D5" s="618"/>
      <c r="E5" s="619"/>
      <c r="F5" s="11" t="str">
        <f>IF(D5 = "", template_label_missing_value, template_label_ok)</f>
        <v>MISSING VALUE</v>
      </c>
      <c r="H5" s="52"/>
    </row>
    <row r="6" spans="1:11" ht="14.4" customHeight="1" x14ac:dyDescent="0.35">
      <c r="C6" s="246" t="str">
        <f>template_label_starting_year</f>
        <v>Starting year</v>
      </c>
      <c r="D6" s="583"/>
      <c r="E6" s="584"/>
      <c r="F6" s="531" t="str">
        <f>IF(OR(D6 = "", D7 = "", D8 = ""),
    template_label_missing_value,
    IF(OR(
        AND(D7 = 2, D8 &gt; 29),
        AND(D7 = 2, D8 = 29, NOT(AND(MOD(D6, 4) = 0, OR(MOD(D6, 100) &lt;&gt; 0, MOD(D6, 400) = 0)))),
        AND(OR(D7 = 4, D7 = 6, D7 = 9, D7 = 11), D8 = 31)
    ),
        template_label_error,
        IF(F10 = template_label_value_inconsistency, template_label_value_inconsistency, template_label_ok)
    )
)</f>
        <v>MISSING VALUE</v>
      </c>
      <c r="G6" s="515" t="str">
        <f>template_label_date_warning</f>
        <v>ℹ️ If VALUE INCONSISTENCY message appears on the right, please ensure that the reporting period end date is greater than the reporting period start date.</v>
      </c>
      <c r="H6" s="515"/>
      <c r="I6" s="515"/>
      <c r="J6" s="515"/>
      <c r="K6" s="515"/>
    </row>
    <row r="7" spans="1:11" ht="14.4" customHeight="1" x14ac:dyDescent="0.35">
      <c r="C7" s="141" t="str">
        <f>template_label_starting_month</f>
        <v>Starting month</v>
      </c>
      <c r="D7" s="620"/>
      <c r="E7" s="621"/>
      <c r="F7" s="531"/>
      <c r="G7" s="515"/>
      <c r="H7" s="515"/>
      <c r="I7" s="515"/>
      <c r="J7" s="515"/>
      <c r="K7" s="515"/>
    </row>
    <row r="8" spans="1:11" ht="14.4" customHeight="1" x14ac:dyDescent="0.35">
      <c r="C8" s="141" t="str">
        <f>template_label_starting_day</f>
        <v>Starting day</v>
      </c>
      <c r="D8" s="532"/>
      <c r="E8" s="533"/>
      <c r="F8" s="531"/>
      <c r="G8" s="515"/>
      <c r="H8" s="515"/>
      <c r="I8" s="515"/>
      <c r="J8" s="515"/>
      <c r="K8" s="515"/>
    </row>
    <row r="9" spans="1:11" ht="14.4" customHeight="1" thickBot="1" x14ac:dyDescent="0.4">
      <c r="C9" s="122" t="str">
        <f>template_label_reporting_period_start_date</f>
        <v>Reporting period start date (yyyy-mm-dd)</v>
      </c>
      <c r="D9" s="581" t="str">
        <f>IF(OR(ISBLANK(D6), ISBLANK(D7), ISBLANK(D8)), "-", D6 &amp; "-" &amp; TEXT(D7, "00") &amp; "-" &amp; TEXT(D8, "00"))</f>
        <v>-</v>
      </c>
      <c r="E9" s="582"/>
      <c r="F9"/>
      <c r="H9" s="52"/>
    </row>
    <row r="10" spans="1:11" ht="14.4" customHeight="1" x14ac:dyDescent="0.35">
      <c r="C10" s="246" t="str">
        <f>template_label_ending_year</f>
        <v>Ending year</v>
      </c>
      <c r="D10" s="583"/>
      <c r="E10" s="584"/>
      <c r="F10" s="531" t="str">
        <f>IF(OR(D10 = "", D11 = "", D12 = ""), template_label_missing_value,
IF(OR(
   AND(D11 = 2, D12 &gt; 29),
   AND(D11 = 2, D12 = 29, NOT(AND(MOD(D10, 4) = 0, OR(MOD(D10, 100) &lt;&gt; 0, MOD(D10, 400) = 0)))),
   AND(OR(D11 = 4, D11 = 6, D11 = 9, D11 = 11), D12 = 31)
), template_label_error,
IF(D10 &lt; D6, template_label_value_inconsistency,
IF(D10 &gt; D6, template_label_ok,
IF(AND(D10 = D6,
MATCH(D11, {1;2;3;4;5;6;7;8;9;10;11;12}, 0) &lt;
MATCH(D7, {1;2;3;4;5;6;7;8;9;10;11;12}, 0)),
template_label_value_inconsistency,
IF(AND(D10 = D6,
MATCH(D11, {1;2;3;4;5;6;7;8;9;10;11;12}, 0) &gt;
MATCH(D7, {1;2;3;4;5;6;7;8;9;10;11;12}, 0)),
template_label_ok,
IF(AND(D10 = D6,
MATCH(D11, {1;2;3;4;5;6;7;8;9;10;11;12}, 0) =
MATCH(D7, {1;2;3;4;5;6;7;8;9;10;11;12}, 0),
D12 &lt; D8),
template_label_value_inconsistency,
template_label_ok
)))))))</f>
        <v>MISSING VALUE</v>
      </c>
      <c r="G10" s="515" t="str">
        <f>template_label_date_warning</f>
        <v>ℹ️ If VALUE INCONSISTENCY message appears on the right, please ensure that the reporting period end date is greater than the reporting period start date.</v>
      </c>
      <c r="H10" s="515"/>
      <c r="I10" s="515"/>
      <c r="J10" s="515"/>
      <c r="K10" s="515"/>
    </row>
    <row r="11" spans="1:11" ht="14.4" customHeight="1" x14ac:dyDescent="0.35">
      <c r="C11" s="141" t="str">
        <f>template_label_ending_month</f>
        <v>Ending month</v>
      </c>
      <c r="D11" s="585"/>
      <c r="E11" s="586"/>
      <c r="F11" s="531"/>
      <c r="G11" s="515"/>
      <c r="H11" s="515"/>
      <c r="I11" s="515"/>
      <c r="J11" s="515"/>
      <c r="K11" s="515"/>
    </row>
    <row r="12" spans="1:11" ht="14.4" customHeight="1" x14ac:dyDescent="0.35">
      <c r="C12" s="141" t="s">
        <v>3060</v>
      </c>
      <c r="D12" s="587"/>
      <c r="E12" s="588"/>
      <c r="F12" s="531"/>
      <c r="G12" s="515"/>
      <c r="H12" s="515"/>
      <c r="I12" s="515"/>
      <c r="J12" s="515"/>
      <c r="K12" s="515"/>
    </row>
    <row r="13" spans="1:11" ht="14.4" customHeight="1" thickBot="1" x14ac:dyDescent="0.4">
      <c r="A13" s="89"/>
      <c r="B13" s="89"/>
      <c r="C13" s="122" t="str">
        <f>template_label_reporting_period_end_date</f>
        <v>Reporting period end date  (yyyy-mm-dd)</v>
      </c>
      <c r="D13" s="581" t="str">
        <f>IF(OR(ISBLANK(D10), ISBLANK(D11), ISBLANK(D12)), "-", D10 &amp; "-" &amp; TEXT(D11, "00") &amp; "-" &amp; TEXT(D12, "00"))</f>
        <v>-</v>
      </c>
      <c r="E13" s="582"/>
      <c r="F13" s="11"/>
    </row>
    <row r="14" spans="1:11" x14ac:dyDescent="0.35">
      <c r="A14" s="89"/>
      <c r="B14" s="89"/>
      <c r="C14" s="90"/>
      <c r="D14" s="90"/>
      <c r="E14" s="91"/>
      <c r="F14" s="11"/>
    </row>
    <row r="15" spans="1:11" ht="15" customHeight="1" thickBot="1" x14ac:dyDescent="0.4">
      <c r="A15" s="89"/>
      <c r="B15" s="89"/>
      <c r="E15" s="12"/>
    </row>
    <row r="16" spans="1:11" x14ac:dyDescent="0.35">
      <c r="A16" s="92"/>
      <c r="B16" s="89"/>
      <c r="C16" s="602" t="str">
        <f>template_label_information_on_previous_reporting_period</f>
        <v>Information on previous reporting period</v>
      </c>
      <c r="D16" s="603"/>
      <c r="E16" s="604"/>
    </row>
    <row r="17" spans="1:7" x14ac:dyDescent="0.35">
      <c r="A17" s="92"/>
      <c r="B17" s="89"/>
      <c r="C17" s="607">
        <v>16</v>
      </c>
      <c r="D17" s="608"/>
      <c r="E17" s="609"/>
      <c r="F17" s="247"/>
    </row>
    <row r="18" spans="1:7" ht="14.4" customHeight="1" x14ac:dyDescent="0.35">
      <c r="C18" s="605" t="str">
        <f>template_label_disclosures_from_the_previous_reporting_period_that_remain_unchanged</f>
        <v>This report contains disclosures from the previous reporting period that remain unchanged</v>
      </c>
      <c r="D18" s="606"/>
      <c r="E18" s="57" t="b">
        <v>0</v>
      </c>
      <c r="F18" s="11" t="str">
        <f>IF(E18 = FALSE, "", template_label_ok)</f>
        <v/>
      </c>
    </row>
    <row r="19" spans="1:7" ht="14.4" customHeight="1" x14ac:dyDescent="0.35">
      <c r="C19" s="610" t="str">
        <f>template_label_disclosures_for_which_no_changes_are_reported_compared_to_the_previous_period_reporting</f>
        <v>List of disclosures for which no changes are reported compared to the previous period reporting</v>
      </c>
      <c r="D19" s="611"/>
      <c r="E19" s="58"/>
      <c r="F19" s="11" t="str">
        <f>IF(AND(E18 = FALSE, E19 = ""), "",
IF(AND(E18 = FALSE, E19 &lt;&gt; ""), "",
IF(AND(E18 = TRUE, E19 = ""), template_label_missing_value,
IF(AND(E18 = TRUE, E19 &lt;&gt; "", COUNTIF(E19:E28, E19) = COUNTA(E19:E28), COUNTA(E19:E28) &gt; 1), template_label_value_inconsistency,
template_label_ok))))</f>
        <v/>
      </c>
      <c r="G19" t="str">
        <f>template_label_additional_rows_warning</f>
        <v>ℹ️  Lists can be expanded using the little [+] button on the left.  If the number of rows is not sufficient, those can be added by right clicking the second row and selecting "Insert row".</v>
      </c>
    </row>
    <row r="20" spans="1:7" ht="14.4" hidden="1" customHeight="1" outlineLevel="2" x14ac:dyDescent="0.35">
      <c r="C20" s="612"/>
      <c r="D20" s="613"/>
      <c r="E20" s="59"/>
      <c r="F20" s="11" t="str">
        <f t="shared" ref="F20:F28" si="0">IF($E$18 = FALSE, "",
IF(E20 = "", "",
IF(COUNTIF($E$19:$E$28, E20) &gt; 1, template_label_value_inconsistency, template_label_ok)))</f>
        <v/>
      </c>
    </row>
    <row r="21" spans="1:7" ht="14.4" hidden="1" customHeight="1" outlineLevel="2" x14ac:dyDescent="0.35">
      <c r="C21" s="612"/>
      <c r="D21" s="613"/>
      <c r="E21" s="59"/>
      <c r="F21" s="11" t="str">
        <f t="shared" si="0"/>
        <v/>
      </c>
    </row>
    <row r="22" spans="1:7" ht="14.4" hidden="1" customHeight="1" outlineLevel="2" x14ac:dyDescent="0.35">
      <c r="C22" s="612"/>
      <c r="D22" s="613"/>
      <c r="E22" s="59"/>
      <c r="F22" s="11" t="str">
        <f t="shared" si="0"/>
        <v/>
      </c>
    </row>
    <row r="23" spans="1:7" ht="14.4" hidden="1" customHeight="1" outlineLevel="2" x14ac:dyDescent="0.35">
      <c r="C23" s="612"/>
      <c r="D23" s="613"/>
      <c r="E23" s="59"/>
      <c r="F23" s="11" t="str">
        <f t="shared" si="0"/>
        <v/>
      </c>
    </row>
    <row r="24" spans="1:7" ht="14.4" hidden="1" customHeight="1" outlineLevel="2" x14ac:dyDescent="0.35">
      <c r="C24" s="612"/>
      <c r="D24" s="613"/>
      <c r="E24" s="59"/>
      <c r="F24" s="11" t="str">
        <f t="shared" si="0"/>
        <v/>
      </c>
    </row>
    <row r="25" spans="1:7" ht="14.4" hidden="1" customHeight="1" outlineLevel="2" x14ac:dyDescent="0.35">
      <c r="C25" s="612"/>
      <c r="D25" s="613"/>
      <c r="E25" s="59"/>
      <c r="F25" s="11" t="str">
        <f t="shared" si="0"/>
        <v/>
      </c>
    </row>
    <row r="26" spans="1:7" ht="14.4" hidden="1" customHeight="1" outlineLevel="2" x14ac:dyDescent="0.35">
      <c r="C26" s="612"/>
      <c r="D26" s="613"/>
      <c r="E26" s="59"/>
      <c r="F26" s="11" t="str">
        <f t="shared" si="0"/>
        <v/>
      </c>
    </row>
    <row r="27" spans="1:7" ht="14.4" hidden="1" customHeight="1" outlineLevel="2" x14ac:dyDescent="0.35">
      <c r="C27" s="612"/>
      <c r="D27" s="613"/>
      <c r="E27" s="59"/>
      <c r="F27" s="11" t="str">
        <f t="shared" si="0"/>
        <v/>
      </c>
    </row>
    <row r="28" spans="1:7" ht="14.4" hidden="1" customHeight="1" outlineLevel="2" x14ac:dyDescent="0.35">
      <c r="C28" s="614"/>
      <c r="D28" s="615"/>
      <c r="E28" s="59"/>
      <c r="F28" s="11" t="str">
        <f t="shared" si="0"/>
        <v/>
      </c>
    </row>
    <row r="29" spans="1:7" ht="14.4" customHeight="1" collapsed="1" thickBot="1" x14ac:dyDescent="0.4">
      <c r="A29" s="93"/>
      <c r="B29" s="93"/>
      <c r="C29" s="536" t="str">
        <f>template_label_link_to_previous_report_containing_disclosures_that_remain_unchanged</f>
        <v>Link to previous report containing disclosures that remain unchanged</v>
      </c>
      <c r="D29" s="537"/>
      <c r="E29" s="229"/>
      <c r="F29" s="11" t="str">
        <f>IF(AND(E18 = FALSE, E29 = ""), "",
IF(AND(E18 = TRUE, E29 = ""), template_label_missing_value,
IF(AND(E18 = FALSE, E29 &lt;&gt; ""), "",
IF(AND(E18 = TRUE, E29 &lt;&gt; "", OR(LEFT(E29, 7) = "http://", LEFT(E29, 8) = "https://", LEFT(E29, 4) = "www.")), template_label_ok,
IF(E18 = TRUE, template_label_invalid_url, template_label_missing_value)))))</f>
        <v/>
      </c>
    </row>
    <row r="30" spans="1:7" ht="15" thickBot="1" x14ac:dyDescent="0.4">
      <c r="A30" s="94"/>
      <c r="B30" s="94"/>
    </row>
    <row r="31" spans="1:7" ht="17.75" customHeight="1" x14ac:dyDescent="0.35">
      <c r="C31" s="589" t="str">
        <f>template_label_b1_basis_for_preparation_and_other_undertakings_general_information &amp; " " &amp; template_label_from &amp; " " &amp; template_starting_date_display &amp; " " &amp; template_label_to &amp; " " &amp; template_ending_date_display &amp; " " &amp; template_label_always_to_be_reported</f>
        <v>B1 - Basis for Preparation and other undertaking's general information from - to - [Always to be reported]</v>
      </c>
      <c r="D31" s="590"/>
      <c r="E31" s="591"/>
      <c r="F31"/>
    </row>
    <row r="32" spans="1:7" x14ac:dyDescent="0.35">
      <c r="A32" s="462" t="s">
        <v>3731</v>
      </c>
      <c r="B32" s="250" t="s">
        <v>1</v>
      </c>
      <c r="C32" s="570" t="str">
        <f>template_label_basis_for_preparation</f>
        <v>Basis for preparation (Basic Module Only or Basic &amp; Comprehensive Module)</v>
      </c>
      <c r="D32" s="571"/>
      <c r="E32" s="60"/>
      <c r="F32" s="11" t="str">
        <f>IF(E32 = "", template_label_missing_value, template_label_ok)</f>
        <v>MISSING VALUE</v>
      </c>
    </row>
    <row r="33" spans="1:7" x14ac:dyDescent="0.35">
      <c r="A33" s="462" t="s">
        <v>3732</v>
      </c>
      <c r="B33" s="250" t="s">
        <v>1</v>
      </c>
      <c r="C33" s="592" t="str">
        <f>template_label_list_of_omitted_disclosures_deemed_to_be_classified_or_sensitive_information</f>
        <v>List of omitted disclosures deemed to be classified or sensitive information</v>
      </c>
      <c r="D33" s="593"/>
      <c r="E33" s="60"/>
      <c r="F33" s="11" t="str">
        <f>IF(E32 = "", "",
IF(AND(OR(E32 = "Option A (Basic Module only)", E32 = "Option B (Basic Module and Comprehensive Module)"), E33 = ""), template_label_missing_value,
IF(COUNTIF(E33:E42, E33) &gt; 1, template_label_value_inconsistency, template_label_ok)))</f>
        <v/>
      </c>
    </row>
    <row r="34" spans="1:7" ht="14.4" hidden="1" customHeight="1" outlineLevel="2" x14ac:dyDescent="0.35">
      <c r="C34" s="592"/>
      <c r="D34" s="593"/>
      <c r="E34" s="61"/>
      <c r="F34" s="11" t="str">
        <f t="shared" ref="F34:F41" si="1">IF(AND($E$33 = "None", E34 &lt;&gt; ""), template_label_value_inconsistency,
IF(E34 = "", "",
IF(COUNTIF($E$33:$E$41, E34) &gt; 1,
   template_label_value_inconsistency,
   template_label_ok)))</f>
        <v/>
      </c>
    </row>
    <row r="35" spans="1:7" ht="14.4" hidden="1" customHeight="1" outlineLevel="2" x14ac:dyDescent="0.35">
      <c r="C35" s="592"/>
      <c r="D35" s="593"/>
      <c r="E35" s="61"/>
      <c r="F35" s="11" t="str">
        <f t="shared" si="1"/>
        <v/>
      </c>
    </row>
    <row r="36" spans="1:7" ht="14.4" hidden="1" customHeight="1" outlineLevel="2" x14ac:dyDescent="0.35">
      <c r="C36" s="592"/>
      <c r="D36" s="593"/>
      <c r="E36" s="61"/>
      <c r="F36" s="11" t="str">
        <f t="shared" si="1"/>
        <v/>
      </c>
    </row>
    <row r="37" spans="1:7" ht="14.4" hidden="1" customHeight="1" outlineLevel="2" x14ac:dyDescent="0.35">
      <c r="C37" s="592"/>
      <c r="D37" s="593"/>
      <c r="E37" s="61"/>
      <c r="F37" s="11" t="str">
        <f t="shared" si="1"/>
        <v/>
      </c>
    </row>
    <row r="38" spans="1:7" ht="14.4" hidden="1" customHeight="1" outlineLevel="2" x14ac:dyDescent="0.35">
      <c r="C38" s="592"/>
      <c r="D38" s="593"/>
      <c r="E38" s="61"/>
      <c r="F38" s="11" t="str">
        <f t="shared" si="1"/>
        <v/>
      </c>
    </row>
    <row r="39" spans="1:7" ht="14.4" hidden="1" customHeight="1" outlineLevel="2" x14ac:dyDescent="0.35">
      <c r="C39" s="592"/>
      <c r="D39" s="593"/>
      <c r="E39" s="61"/>
      <c r="F39" s="11" t="str">
        <f t="shared" si="1"/>
        <v/>
      </c>
    </row>
    <row r="40" spans="1:7" ht="14.4" hidden="1" customHeight="1" outlineLevel="2" x14ac:dyDescent="0.35">
      <c r="C40" s="592"/>
      <c r="D40" s="593"/>
      <c r="E40" s="61"/>
      <c r="F40" s="11" t="str">
        <f t="shared" si="1"/>
        <v/>
      </c>
    </row>
    <row r="41" spans="1:7" ht="14.4" hidden="1" customHeight="1" outlineLevel="2" x14ac:dyDescent="0.35">
      <c r="C41" s="592"/>
      <c r="D41" s="593"/>
      <c r="E41" s="61"/>
      <c r="F41" s="11" t="str">
        <f t="shared" si="1"/>
        <v/>
      </c>
    </row>
    <row r="42" spans="1:7" collapsed="1" x14ac:dyDescent="0.35">
      <c r="A42" s="462" t="s">
        <v>3733</v>
      </c>
      <c r="B42" s="250" t="s">
        <v>1</v>
      </c>
      <c r="C42" s="570" t="str">
        <f>template_label_basis_for_reporting</f>
        <v>Basis for reporting (consolidated or individual basis)</v>
      </c>
      <c r="D42" s="571"/>
      <c r="E42" s="60"/>
      <c r="F42" s="11" t="str">
        <f>IF(AND(OR(E32 = "Option A (Basic Module only)", E32 = "Option B (Basic Module and Comprehensive Module)"), E42 = ""),
    template_label_missing_value,
    IF(E32 = "", "", template_label_ok))</f>
        <v/>
      </c>
    </row>
    <row r="43" spans="1:7" x14ac:dyDescent="0.35">
      <c r="A43" s="576" t="s">
        <v>3948</v>
      </c>
      <c r="B43" s="578">
        <v>4</v>
      </c>
      <c r="C43" s="570" t="str">
        <f>template_label_undertakings_legal_form</f>
        <v>Undertakings legal form</v>
      </c>
      <c r="D43" s="571"/>
      <c r="E43" s="60"/>
      <c r="F43" s="11" t="str">
        <f>IF(AND(OR(E32 = "Option A (Basic Module only)", E32 = "Option B (Basic Module and Comprehensive Module)"), E43 = ""),
    template_label_missing_value,
    IF(E32 = "", "", template_label_ok))</f>
        <v/>
      </c>
      <c r="G43" t="str">
        <f>template_label_other_warning</f>
        <v>ℹ️ When "other" is chosen as undertaking legal form please fill the row below</v>
      </c>
    </row>
    <row r="44" spans="1:7" x14ac:dyDescent="0.35">
      <c r="A44" s="577"/>
      <c r="B44" s="578"/>
      <c r="C44" s="579" t="str">
        <f>template_label_other_undertakings_legal_form_specification</f>
        <v>Other undertaking's legal form specification</v>
      </c>
      <c r="D44" s="580"/>
      <c r="E44" s="62"/>
      <c r="F44" s="11" t="str">
        <f>IF(AND(E43 = "other (please specify the legal form in the row below)", E44 &lt;&gt; ""),
    template_label_ok,
IF(AND(E43 = "other (please specify the legal form in the row below)", E44 = ""),
    template_label_missing_value,
IF(AND(E43 = "", E44 = ""),
    "",
IF(AND(E43 &lt;&gt; "other (please specify the legal form in the row below)", E44 = ""),
    "",
""))))</f>
        <v/>
      </c>
    </row>
    <row r="45" spans="1:7" ht="14.4" customHeight="1" x14ac:dyDescent="0.35">
      <c r="A45" s="566" t="s">
        <v>3734</v>
      </c>
      <c r="B45" s="568" t="s">
        <v>5642</v>
      </c>
      <c r="C45" s="570" t="str">
        <f>template_label_nace_sector_classification_code</f>
        <v>NACE sector classification code(s)</v>
      </c>
      <c r="D45" s="571"/>
      <c r="E45" s="60"/>
      <c r="F45" s="11" t="str">
        <f>IF(OR(E32 = "Option A (Basic Module only)", E32 = "Option B (Basic Module and Comprehensive Module)"),
    IF(COUNTIF(enum_ListNACECategories, E45) &gt; 0, template_label_error,
        IF(E45 = "", template_label_missing_value,
            IF(COUNTIF(E45:E59, E45) &gt; 1, template_label_value_inconsistency, template_label_ok)
        )
    ),
    ""
)</f>
        <v/>
      </c>
      <c r="G45" t="str">
        <f>template_label_NACE_warning</f>
        <v>ℹ️  Please select a NACE code rather than a category else an ERROR message will appear.</v>
      </c>
    </row>
    <row r="46" spans="1:7" ht="14.4" hidden="1" customHeight="1" outlineLevel="1" x14ac:dyDescent="0.35">
      <c r="A46" s="567"/>
      <c r="B46" s="569"/>
      <c r="C46" s="570"/>
      <c r="D46" s="571"/>
      <c r="E46" s="60"/>
      <c r="F46" s="11" t="str">
        <f t="shared" ref="F46:F59" si="2">IF(COUNTIF(enum_ListNACECategories, E46) &gt; 0, template_label_error,
IF(E46 = "", "",
IF(COUNTIF(E45:E59, E46) &gt; 1, template_label_value_inconsistency, template_label_ok)))</f>
        <v/>
      </c>
    </row>
    <row r="47" spans="1:7" ht="14.4" hidden="1" customHeight="1" outlineLevel="1" x14ac:dyDescent="0.35">
      <c r="A47" s="567"/>
      <c r="B47" s="569"/>
      <c r="C47" s="570"/>
      <c r="D47" s="571"/>
      <c r="E47" s="60"/>
      <c r="F47" s="11" t="str">
        <f t="shared" si="2"/>
        <v/>
      </c>
    </row>
    <row r="48" spans="1:7" ht="14.4" hidden="1" customHeight="1" outlineLevel="1" x14ac:dyDescent="0.35">
      <c r="A48" s="567"/>
      <c r="B48" s="569"/>
      <c r="C48" s="570"/>
      <c r="D48" s="571"/>
      <c r="E48" s="60"/>
      <c r="F48" s="11" t="str">
        <f t="shared" si="2"/>
        <v/>
      </c>
    </row>
    <row r="49" spans="1:6" ht="14.4" hidden="1" customHeight="1" outlineLevel="1" x14ac:dyDescent="0.35">
      <c r="A49" s="567"/>
      <c r="B49" s="569"/>
      <c r="C49" s="570"/>
      <c r="D49" s="571"/>
      <c r="E49" s="60"/>
      <c r="F49" s="11" t="str">
        <f t="shared" si="2"/>
        <v/>
      </c>
    </row>
    <row r="50" spans="1:6" ht="14.4" hidden="1" customHeight="1" outlineLevel="1" x14ac:dyDescent="0.35">
      <c r="A50" s="567"/>
      <c r="B50" s="569"/>
      <c r="C50" s="570"/>
      <c r="D50" s="571"/>
      <c r="E50" s="60"/>
      <c r="F50" s="11" t="str">
        <f t="shared" si="2"/>
        <v/>
      </c>
    </row>
    <row r="51" spans="1:6" ht="14.4" hidden="1" customHeight="1" outlineLevel="1" x14ac:dyDescent="0.35">
      <c r="A51" s="567"/>
      <c r="B51" s="569"/>
      <c r="C51" s="570"/>
      <c r="D51" s="571"/>
      <c r="E51" s="60"/>
      <c r="F51" s="11" t="str">
        <f t="shared" si="2"/>
        <v/>
      </c>
    </row>
    <row r="52" spans="1:6" ht="14.4" hidden="1" customHeight="1" outlineLevel="1" x14ac:dyDescent="0.35">
      <c r="A52" s="567"/>
      <c r="B52" s="569"/>
      <c r="C52" s="570"/>
      <c r="D52" s="571"/>
      <c r="E52" s="60"/>
      <c r="F52" s="11" t="str">
        <f t="shared" si="2"/>
        <v/>
      </c>
    </row>
    <row r="53" spans="1:6" ht="14.4" hidden="1" customHeight="1" outlineLevel="1" x14ac:dyDescent="0.35">
      <c r="A53" s="567"/>
      <c r="B53" s="569"/>
      <c r="C53" s="570"/>
      <c r="D53" s="571"/>
      <c r="E53" s="60"/>
      <c r="F53" s="11" t="str">
        <f t="shared" si="2"/>
        <v/>
      </c>
    </row>
    <row r="54" spans="1:6" ht="14.4" hidden="1" customHeight="1" outlineLevel="1" x14ac:dyDescent="0.35">
      <c r="A54" s="567"/>
      <c r="B54" s="569"/>
      <c r="C54" s="570"/>
      <c r="D54" s="571"/>
      <c r="E54" s="60"/>
      <c r="F54" s="11" t="str">
        <f t="shared" si="2"/>
        <v/>
      </c>
    </row>
    <row r="55" spans="1:6" ht="14.4" hidden="1" customHeight="1" outlineLevel="1" x14ac:dyDescent="0.35">
      <c r="A55" s="567"/>
      <c r="B55" s="569"/>
      <c r="C55" s="570"/>
      <c r="D55" s="571"/>
      <c r="E55" s="60"/>
      <c r="F55" s="11" t="str">
        <f t="shared" si="2"/>
        <v/>
      </c>
    </row>
    <row r="56" spans="1:6" ht="14.4" hidden="1" customHeight="1" outlineLevel="1" x14ac:dyDescent="0.35">
      <c r="A56" s="567"/>
      <c r="B56" s="569"/>
      <c r="C56" s="570"/>
      <c r="D56" s="571"/>
      <c r="E56" s="60"/>
      <c r="F56" s="11" t="str">
        <f t="shared" si="2"/>
        <v/>
      </c>
    </row>
    <row r="57" spans="1:6" ht="14.4" hidden="1" customHeight="1" outlineLevel="1" x14ac:dyDescent="0.35">
      <c r="A57" s="567"/>
      <c r="B57" s="569"/>
      <c r="C57" s="570"/>
      <c r="D57" s="571"/>
      <c r="E57" s="60"/>
      <c r="F57" s="11" t="str">
        <f t="shared" si="2"/>
        <v/>
      </c>
    </row>
    <row r="58" spans="1:6" ht="14.4" hidden="1" customHeight="1" outlineLevel="1" x14ac:dyDescent="0.35">
      <c r="A58" s="567"/>
      <c r="B58" s="569"/>
      <c r="C58" s="570"/>
      <c r="D58" s="571"/>
      <c r="E58" s="60"/>
      <c r="F58" s="11" t="str">
        <f t="shared" si="2"/>
        <v/>
      </c>
    </row>
    <row r="59" spans="1:6" ht="14.4" hidden="1" customHeight="1" outlineLevel="1" x14ac:dyDescent="0.35">
      <c r="A59" s="567"/>
      <c r="B59" s="569"/>
      <c r="C59" s="570"/>
      <c r="D59" s="571"/>
      <c r="E59" s="60"/>
      <c r="F59" s="11" t="str">
        <f t="shared" si="2"/>
        <v/>
      </c>
    </row>
    <row r="60" spans="1:6" ht="14.4" customHeight="1" collapsed="1" x14ac:dyDescent="0.35">
      <c r="A60" s="462" t="s">
        <v>3735</v>
      </c>
      <c r="B60" s="250" t="s">
        <v>1</v>
      </c>
      <c r="C60" s="570" t="str">
        <f>template_label_size_of_balance_sheet_in &amp; " " &amp; template_currency</f>
        <v xml:space="preserve">Size of balance sheet (total assets) in </v>
      </c>
      <c r="D60" s="571"/>
      <c r="E60" s="63"/>
      <c r="F60" s="11" t="str">
        <f>IF(AND(OR(E32 = "Option A (Basic Module only)", E32 = "Option B (Basic Module and Comprehensive Module)"), E60 = ""),
    template_label_missing_value,
    IF(E32 = "", "", template_label_ok))</f>
        <v/>
      </c>
    </row>
    <row r="61" spans="1:6" ht="14.4" customHeight="1" x14ac:dyDescent="0.35">
      <c r="A61" s="462" t="s">
        <v>3736</v>
      </c>
      <c r="B61" s="250" t="s">
        <v>1</v>
      </c>
      <c r="C61" s="570" t="str">
        <f>template_label_turnover_in &amp; " " &amp; template_currency</f>
        <v xml:space="preserve">Turnover in </v>
      </c>
      <c r="D61" s="571"/>
      <c r="E61" s="63"/>
      <c r="F61" s="11" t="str">
        <f>IF(AND(OR(E32 = "Option A (Basic Module only)", E32 = "Option B (Basic Module and Comprehensive Module)"), E61 = ""),
    template_label_missing_value,
    IF(E32 = "", "", template_label_ok))</f>
        <v/>
      </c>
    </row>
    <row r="62" spans="1:6" ht="14.4" customHeight="1" x14ac:dyDescent="0.35">
      <c r="A62" s="462" t="s">
        <v>3726</v>
      </c>
      <c r="B62" s="466" t="s">
        <v>5643</v>
      </c>
      <c r="C62" s="570" t="str">
        <f>+template_label_number_of_employees</f>
        <v>Number of employees</v>
      </c>
      <c r="D62" s="571"/>
      <c r="E62" s="64"/>
      <c r="F62" s="11" t="str">
        <f>IF(AND(OR(E32 = "Option A (Basic Module only)", E32 = "Option B (Basic Module and Comprehensive Module)"), E62 = ""),
    template_label_missing_value,
    IF(E32 = "", "", template_label_ok))</f>
        <v/>
      </c>
    </row>
    <row r="63" spans="1:6" ht="14.4" customHeight="1" x14ac:dyDescent="0.35">
      <c r="A63" s="462" t="s">
        <v>3726</v>
      </c>
      <c r="B63" s="466" t="s">
        <v>5643</v>
      </c>
      <c r="C63" s="574" t="str">
        <f>template_label_employee_counting_methodology_end_of_reporting_period_or_average_during_the_reporting_period</f>
        <v>Employee counting methodology (At the end of reporting period or as an average during the reporting period)</v>
      </c>
      <c r="D63" s="575"/>
      <c r="E63" s="64"/>
      <c r="F63" s="11" t="str">
        <f>IF(AND(OR(E32 = "Option A (Basic Module only)", E32 = "Option B (Basic Module and Comprehensive Module)"), E63 = ""),
    template_label_missing_value,
    IF(E32 = "", "", template_label_ok))</f>
        <v/>
      </c>
    </row>
    <row r="64" spans="1:6" ht="14.4" customHeight="1" x14ac:dyDescent="0.35">
      <c r="A64" s="462" t="s">
        <v>3726</v>
      </c>
      <c r="B64" s="466" t="s">
        <v>5643</v>
      </c>
      <c r="C64" s="570" t="str">
        <f>template_label_employee_counting_methodology_headcount_or_fulltime_equivalent</f>
        <v>Employee counting methodology (Headcount or Full-time equivalent)</v>
      </c>
      <c r="D64" s="571"/>
      <c r="E64" s="61"/>
      <c r="F64" s="11" t="str">
        <f>IF(AND(OR(E32 = "Option A (Basic Module only)", E32 = "Option B (Basic Module and Comprehensive Module)"), E64 = ""),
    template_label_missing_value,
    IF(E32 = "", "", template_label_ok))</f>
        <v/>
      </c>
    </row>
    <row r="65" spans="1:7" ht="14.4" customHeight="1" thickBot="1" x14ac:dyDescent="0.4">
      <c r="A65" s="462" t="s">
        <v>3737</v>
      </c>
      <c r="B65" s="484" t="s">
        <v>5644</v>
      </c>
      <c r="C65" s="572" t="str">
        <f>template_label_country_of_primary_operations_and_location_of_significant_asset</f>
        <v>Country of primary operations and location of significant asset(s)</v>
      </c>
      <c r="D65" s="573"/>
      <c r="E65" s="65"/>
      <c r="F65" s="11" t="str">
        <f>IF(AND(OR(E32 = "Option A (Basic Module only)", E32 = "Option B (Basic Module and Comprehensive Module)"), E65 = ""),
    template_label_missing_value,
    IF(E32 = "", "", template_label_ok))</f>
        <v/>
      </c>
    </row>
    <row r="66" spans="1:7" ht="15" thickBot="1" x14ac:dyDescent="0.4">
      <c r="A66" s="248"/>
      <c r="B66" s="485"/>
    </row>
    <row r="67" spans="1:7" ht="14.4" customHeight="1" x14ac:dyDescent="0.35">
      <c r="A67" s="89"/>
      <c r="B67" s="89"/>
      <c r="C67" s="589" t="str">
        <f xml:space="preserve"> template_label_b1_list_of_subsidiaries &amp; " " &amp; template_label_from &amp; " " &amp; template_starting_date_display &amp; " " &amp; template_label_to &amp; " " &amp; template_ending_date_display &amp; " " &amp; template_label_if_applicable</f>
        <v>B1 - List of subsidiaries from - to - [If applicable]</v>
      </c>
      <c r="D67" s="590"/>
      <c r="E67" s="591"/>
    </row>
    <row r="68" spans="1:7" ht="14.4" customHeight="1" x14ac:dyDescent="0.35">
      <c r="A68" s="89"/>
      <c r="B68" s="89"/>
      <c r="C68" s="516" t="s">
        <v>3738</v>
      </c>
      <c r="D68" s="517"/>
      <c r="E68" s="518"/>
      <c r="F68" s="95"/>
    </row>
    <row r="69" spans="1:7" ht="14.4" customHeight="1" x14ac:dyDescent="0.35">
      <c r="A69" s="89"/>
      <c r="B69" s="89"/>
      <c r="C69" s="4" t="str">
        <f>template_label_id</f>
        <v>ID</v>
      </c>
      <c r="D69" t="str">
        <f>template_label_name</f>
        <v>Name</v>
      </c>
      <c r="E69" s="438" t="str">
        <f>template_label_registered_address</f>
        <v>Registered Address</v>
      </c>
    </row>
    <row r="70" spans="1:7" ht="14.4" customHeight="1" thickBot="1" x14ac:dyDescent="0.4">
      <c r="A70" s="89"/>
      <c r="B70" s="89"/>
      <c r="C70" s="234">
        <v>1</v>
      </c>
      <c r="D70" s="66"/>
      <c r="E70" s="67"/>
      <c r="F70" s="11" t="str">
        <f>IF(AND(BasisForReporting="Sustainability report prepared on a consolidated basis", D70&lt;&gt;"", E70=""), template_label_missing_value,
IF(AND(BasisForReporting="Sustainability report prepared on a consolidated basis", D70&lt;&gt;"", E70&lt;&gt;""), template_label_ok,
IF(AND(BasisForReporting="Sustainability report prepared on a consolidated basis", D70="", E70=""), template_label_missing_value, "")))</f>
        <v/>
      </c>
      <c r="G70" t="str">
        <f>template_label_additional_rows_warning</f>
        <v>ℹ️  Lists can be expanded using the little [+] button on the left.  If the number of rows is not sufficient, those can be added by right clicking the second row and selecting "Insert row".</v>
      </c>
    </row>
    <row r="71" spans="1:7" ht="14.4" hidden="1" customHeight="1" outlineLevel="1" x14ac:dyDescent="0.35">
      <c r="A71" s="89"/>
      <c r="B71" s="89"/>
      <c r="C71" s="383">
        <v>2</v>
      </c>
      <c r="D71" s="68"/>
      <c r="E71" s="69"/>
      <c r="F71" s="87" t="str">
        <f t="shared" ref="F71:F94" si="3">IF(AND(D71&lt;&gt;"",E71=""), template_label_missing_value,
IF(AND(D71&lt;&gt;"",E71&lt;&gt;""), template_label_ok,
IF(AND(D71="",E71=""), "", template_label_missing_value)))</f>
        <v/>
      </c>
    </row>
    <row r="72" spans="1:7" ht="14.4" hidden="1" customHeight="1" outlineLevel="1" x14ac:dyDescent="0.35">
      <c r="C72" s="232">
        <v>3</v>
      </c>
      <c r="D72" s="70"/>
      <c r="E72" s="71"/>
      <c r="F72" s="87" t="str">
        <f t="shared" si="3"/>
        <v/>
      </c>
    </row>
    <row r="73" spans="1:7" ht="14.4" hidden="1" customHeight="1" outlineLevel="1" x14ac:dyDescent="0.35">
      <c r="C73" s="232">
        <v>4</v>
      </c>
      <c r="D73" s="70"/>
      <c r="E73" s="71"/>
      <c r="F73" s="87" t="str">
        <f t="shared" si="3"/>
        <v/>
      </c>
    </row>
    <row r="74" spans="1:7" ht="14.4" hidden="1" customHeight="1" outlineLevel="1" x14ac:dyDescent="0.35">
      <c r="C74" s="233">
        <v>5</v>
      </c>
      <c r="D74" s="70"/>
      <c r="E74" s="71"/>
      <c r="F74" s="87" t="str">
        <f t="shared" si="3"/>
        <v/>
      </c>
    </row>
    <row r="75" spans="1:7" ht="14.4" hidden="1" customHeight="1" outlineLevel="1" x14ac:dyDescent="0.35">
      <c r="C75" s="232">
        <v>6</v>
      </c>
      <c r="D75" s="70"/>
      <c r="E75" s="71"/>
      <c r="F75" s="87" t="str">
        <f t="shared" si="3"/>
        <v/>
      </c>
    </row>
    <row r="76" spans="1:7" ht="14.4" hidden="1" customHeight="1" outlineLevel="1" x14ac:dyDescent="0.35">
      <c r="C76" s="232">
        <v>7</v>
      </c>
      <c r="D76" s="70"/>
      <c r="E76" s="71"/>
      <c r="F76" s="87" t="str">
        <f t="shared" si="3"/>
        <v/>
      </c>
    </row>
    <row r="77" spans="1:7" ht="14.4" hidden="1" customHeight="1" outlineLevel="1" x14ac:dyDescent="0.35">
      <c r="C77" s="233">
        <v>8</v>
      </c>
      <c r="D77" s="70"/>
      <c r="E77" s="71"/>
      <c r="F77" s="87" t="str">
        <f t="shared" si="3"/>
        <v/>
      </c>
    </row>
    <row r="78" spans="1:7" ht="14.4" hidden="1" customHeight="1" outlineLevel="1" x14ac:dyDescent="0.35">
      <c r="C78" s="232">
        <v>9</v>
      </c>
      <c r="D78" s="70"/>
      <c r="E78" s="71"/>
      <c r="F78" s="87" t="str">
        <f t="shared" si="3"/>
        <v/>
      </c>
    </row>
    <row r="79" spans="1:7" ht="14.4" hidden="1" customHeight="1" outlineLevel="1" x14ac:dyDescent="0.35">
      <c r="C79" s="232">
        <v>10</v>
      </c>
      <c r="D79" s="70"/>
      <c r="E79" s="71"/>
      <c r="F79" s="87" t="str">
        <f t="shared" si="3"/>
        <v/>
      </c>
    </row>
    <row r="80" spans="1:7" ht="14.4" hidden="1" customHeight="1" outlineLevel="1" x14ac:dyDescent="0.35">
      <c r="C80" s="233">
        <v>11</v>
      </c>
      <c r="D80" s="70"/>
      <c r="E80" s="71"/>
      <c r="F80" s="87" t="str">
        <f t="shared" si="3"/>
        <v/>
      </c>
    </row>
    <row r="81" spans="3:8" ht="14.4" hidden="1" customHeight="1" outlineLevel="1" x14ac:dyDescent="0.35">
      <c r="C81" s="232">
        <v>12</v>
      </c>
      <c r="D81" s="70"/>
      <c r="E81" s="71"/>
      <c r="F81" s="87" t="str">
        <f t="shared" si="3"/>
        <v/>
      </c>
    </row>
    <row r="82" spans="3:8" ht="14.4" hidden="1" customHeight="1" outlineLevel="1" x14ac:dyDescent="0.35">
      <c r="C82" s="232">
        <v>13</v>
      </c>
      <c r="D82" s="70"/>
      <c r="E82" s="71"/>
      <c r="F82" s="87" t="str">
        <f t="shared" si="3"/>
        <v/>
      </c>
    </row>
    <row r="83" spans="3:8" ht="14.4" hidden="1" customHeight="1" outlineLevel="1" x14ac:dyDescent="0.35">
      <c r="C83" s="233">
        <v>14</v>
      </c>
      <c r="D83" s="70"/>
      <c r="E83" s="71"/>
      <c r="F83" s="87" t="str">
        <f t="shared" si="3"/>
        <v/>
      </c>
    </row>
    <row r="84" spans="3:8" ht="14.4" hidden="1" customHeight="1" outlineLevel="1" x14ac:dyDescent="0.35">
      <c r="C84" s="232">
        <v>15</v>
      </c>
      <c r="D84" s="70"/>
      <c r="E84" s="71"/>
      <c r="F84" s="87" t="str">
        <f t="shared" si="3"/>
        <v/>
      </c>
    </row>
    <row r="85" spans="3:8" ht="14.4" hidden="1" customHeight="1" outlineLevel="1" x14ac:dyDescent="0.35">
      <c r="C85" s="232">
        <v>16</v>
      </c>
      <c r="D85" s="70"/>
      <c r="E85" s="71"/>
      <c r="F85" s="87" t="str">
        <f t="shared" si="3"/>
        <v/>
      </c>
    </row>
    <row r="86" spans="3:8" ht="14.4" hidden="1" customHeight="1" outlineLevel="1" x14ac:dyDescent="0.35">
      <c r="C86" s="233">
        <v>17</v>
      </c>
      <c r="D86" s="70"/>
      <c r="E86" s="71"/>
      <c r="F86" s="87" t="str">
        <f t="shared" si="3"/>
        <v/>
      </c>
    </row>
    <row r="87" spans="3:8" ht="14.4" hidden="1" customHeight="1" outlineLevel="1" x14ac:dyDescent="0.35">
      <c r="C87" s="232">
        <v>18</v>
      </c>
      <c r="D87" s="70"/>
      <c r="E87" s="71"/>
      <c r="F87" s="87" t="str">
        <f t="shared" si="3"/>
        <v/>
      </c>
    </row>
    <row r="88" spans="3:8" ht="14.4" hidden="1" customHeight="1" outlineLevel="1" x14ac:dyDescent="0.35">
      <c r="C88" s="232">
        <v>19</v>
      </c>
      <c r="D88" s="70"/>
      <c r="E88" s="71"/>
      <c r="F88" s="87" t="str">
        <f t="shared" si="3"/>
        <v/>
      </c>
    </row>
    <row r="89" spans="3:8" ht="14.4" hidden="1" customHeight="1" outlineLevel="1" x14ac:dyDescent="0.35">
      <c r="C89" s="233">
        <v>20</v>
      </c>
      <c r="D89" s="70"/>
      <c r="E89" s="71"/>
      <c r="F89" s="87" t="str">
        <f t="shared" si="3"/>
        <v/>
      </c>
    </row>
    <row r="90" spans="3:8" ht="14.4" hidden="1" customHeight="1" outlineLevel="1" x14ac:dyDescent="0.35">
      <c r="C90" s="232">
        <v>21</v>
      </c>
      <c r="D90" s="70"/>
      <c r="E90" s="71"/>
      <c r="F90" s="87" t="str">
        <f t="shared" si="3"/>
        <v/>
      </c>
    </row>
    <row r="91" spans="3:8" ht="14.4" hidden="1" customHeight="1" outlineLevel="1" x14ac:dyDescent="0.35">
      <c r="C91" s="232">
        <v>22</v>
      </c>
      <c r="D91" s="70"/>
      <c r="E91" s="71"/>
      <c r="F91" s="87" t="str">
        <f t="shared" si="3"/>
        <v/>
      </c>
    </row>
    <row r="92" spans="3:8" ht="14.4" hidden="1" customHeight="1" outlineLevel="1" x14ac:dyDescent="0.35">
      <c r="C92" s="233">
        <v>23</v>
      </c>
      <c r="D92" s="70"/>
      <c r="E92" s="71"/>
      <c r="F92" s="87" t="str">
        <f t="shared" si="3"/>
        <v/>
      </c>
    </row>
    <row r="93" spans="3:8" ht="14.4" hidden="1" customHeight="1" outlineLevel="1" x14ac:dyDescent="0.35">
      <c r="C93" s="232">
        <v>24</v>
      </c>
      <c r="D93" s="70"/>
      <c r="E93" s="71"/>
      <c r="F93" s="87" t="str">
        <f t="shared" si="3"/>
        <v/>
      </c>
    </row>
    <row r="94" spans="3:8" ht="14.4" hidden="1" customHeight="1" outlineLevel="1" thickBot="1" x14ac:dyDescent="0.4">
      <c r="C94" s="234">
        <v>25</v>
      </c>
      <c r="D94" s="72"/>
      <c r="E94" s="67"/>
      <c r="F94" s="87" t="str">
        <f t="shared" si="3"/>
        <v/>
      </c>
    </row>
    <row r="95" spans="3:8" ht="15" collapsed="1" thickBot="1" x14ac:dyDescent="0.4"/>
    <row r="96" spans="3:8" ht="14.4" customHeight="1" x14ac:dyDescent="0.35">
      <c r="C96" s="624" t="str">
        <f xml:space="preserve"> template_label_b1_disclosure_of_sustainability_related_certification_or_label &amp; " " &amp; template_label_from &amp; " " &amp; template_starting_date_display &amp; " " &amp; template_label_to &amp; " " &amp; template_ending_date_display &amp; " " &amp; template_label_if_applicable</f>
        <v>B1 - Disclosure of sustainability-related certification(s) or label(s) from - to - [If applicable]</v>
      </c>
      <c r="D96" s="625"/>
      <c r="E96" s="625"/>
      <c r="F96" s="625"/>
      <c r="G96" s="625"/>
      <c r="H96" s="626"/>
    </row>
    <row r="97" spans="3:13" ht="14.4" customHeight="1" x14ac:dyDescent="0.35">
      <c r="C97" s="516">
        <v>25</v>
      </c>
      <c r="D97" s="517"/>
      <c r="E97" s="517"/>
      <c r="F97" s="517"/>
      <c r="G97" s="517"/>
      <c r="H97" s="518"/>
    </row>
    <row r="98" spans="3:13" ht="14.4" customHeight="1" x14ac:dyDescent="0.35">
      <c r="C98" s="627">
        <v>13</v>
      </c>
      <c r="D98" s="628"/>
      <c r="E98" s="628"/>
      <c r="F98" s="628"/>
      <c r="G98" s="628"/>
      <c r="H98" s="629"/>
    </row>
    <row r="99" spans="3:13" ht="14.4" customHeight="1" x14ac:dyDescent="0.35">
      <c r="C99" s="637" t="str">
        <f>template_label_has_the_undertaking_put_in_place_specific_practices_policies_and_or_future</f>
        <v>Has the undertaking put in place specific practices policies and or future initiatives for transitioning towards a more sustainable economy?</v>
      </c>
      <c r="D99" s="638"/>
      <c r="E99" s="639" t="b">
        <v>0</v>
      </c>
      <c r="F99" s="640"/>
      <c r="G99" s="640"/>
      <c r="H99" s="641"/>
    </row>
    <row r="100" spans="3:13" ht="30" customHeight="1" thickBot="1" x14ac:dyDescent="0.4">
      <c r="C100" s="600" t="str">
        <f>template_label_description_of_sustainability_related_certification_or_label</f>
        <v>Description of sustainability-related certification(s) or label(s) including where relevant the issuers of the certification or label date and rating score</v>
      </c>
      <c r="D100" s="601"/>
      <c r="E100" s="560"/>
      <c r="F100" s="561"/>
      <c r="G100" s="561"/>
      <c r="H100" s="562"/>
      <c r="I100" s="16" t="str">
        <f>IF(AND(E99=TRUE,E100=""), template_label_missing_value,
IF(AND(E99=TRUE,E100&lt;&gt;""), template_label_ok, ""))</f>
        <v/>
      </c>
    </row>
    <row r="101" spans="3:13" ht="15" thickBot="1" x14ac:dyDescent="0.4"/>
    <row r="102" spans="3:13" x14ac:dyDescent="0.35">
      <c r="C102" s="589" t="str">
        <f>template_label_b1_list_of_site&amp; " " &amp; template_label_from &amp; " " &amp; template_starting_date_display &amp; " " &amp; template_label_to &amp; " " &amp; template_ending_date_display &amp; " " &amp; template_label_always_to_be_reported</f>
        <v>B1 - List of site(s) from - to - [Always to be reported]</v>
      </c>
      <c r="D102" s="590"/>
      <c r="E102" s="590"/>
      <c r="F102" s="590"/>
      <c r="G102" s="590"/>
      <c r="H102" s="591"/>
    </row>
    <row r="103" spans="3:13" x14ac:dyDescent="0.35">
      <c r="C103" s="516" t="s">
        <v>3739</v>
      </c>
      <c r="D103" s="517"/>
      <c r="E103" s="517"/>
      <c r="F103" s="517"/>
      <c r="G103" s="517"/>
      <c r="H103" s="518"/>
    </row>
    <row r="104" spans="3:13" x14ac:dyDescent="0.35">
      <c r="C104" s="642" t="s">
        <v>5645</v>
      </c>
      <c r="D104" s="643"/>
      <c r="E104" s="643"/>
      <c r="F104" s="643"/>
      <c r="G104" s="643"/>
      <c r="H104" s="644"/>
    </row>
    <row r="105" spans="3:13" x14ac:dyDescent="0.35">
      <c r="C105" s="524" t="str">
        <f>template_label_id</f>
        <v>ID</v>
      </c>
      <c r="D105" s="527" t="str">
        <f>template_label_address</f>
        <v>Address</v>
      </c>
      <c r="E105" s="527" t="str">
        <f>template_label_postal_code</f>
        <v>Postal code</v>
      </c>
      <c r="F105" s="520" t="str">
        <f>template_label_city</f>
        <v>City</v>
      </c>
      <c r="G105" s="527" t="str">
        <f>template_label_country</f>
        <v>Country</v>
      </c>
      <c r="H105" s="217" t="str">
        <f>template_label_gps_coordinates</f>
        <v>GPS Coordinates (geolocation)</v>
      </c>
      <c r="I105" s="96"/>
    </row>
    <row r="106" spans="3:13" ht="78" customHeight="1" x14ac:dyDescent="0.35">
      <c r="C106" s="525"/>
      <c r="D106" s="528"/>
      <c r="E106" s="528"/>
      <c r="F106" s="530"/>
      <c r="G106" s="528"/>
      <c r="H106" s="441" t="str">
        <f>template_label_automatic_geolocation</f>
        <v>Automatic geolocation: enabling the OpenStreetMaps's automatic geolocation with the checkbox below the undertaking is declaring to be fully aware and in acceptance of Nominatim Usage Policy and Privacy Policy.
OpenStreetMap® is open data licensed under the Open Data Commons Open Database License (ODbL) by the OpenStreetMap Foundation (OSMF). All data belong and are owned by OpenStreetMap®.</v>
      </c>
      <c r="I106" s="96"/>
      <c r="J106" s="2"/>
    </row>
    <row r="107" spans="3:13" ht="53.4" customHeight="1" x14ac:dyDescent="0.35">
      <c r="C107" s="525"/>
      <c r="D107" s="528"/>
      <c r="E107" s="528"/>
      <c r="F107" s="530"/>
      <c r="G107" s="528"/>
      <c r="H107" s="440" t="s">
        <v>4364</v>
      </c>
      <c r="I107" s="439"/>
      <c r="J107" s="2"/>
    </row>
    <row r="108" spans="3:13" x14ac:dyDescent="0.35">
      <c r="C108" s="526"/>
      <c r="D108" s="529"/>
      <c r="E108" s="529"/>
      <c r="F108" s="521"/>
      <c r="G108" s="529"/>
      <c r="H108" s="381" t="b">
        <v>0</v>
      </c>
      <c r="I108" s="96"/>
      <c r="J108" s="343"/>
    </row>
    <row r="109" spans="3:13" x14ac:dyDescent="0.35">
      <c r="C109" s="232">
        <v>1</v>
      </c>
      <c r="D109" s="73"/>
      <c r="E109" s="74"/>
      <c r="F109" s="75"/>
      <c r="G109" s="73"/>
      <c r="H109" s="208" t="str">
        <f>IF(COUNTA(D109:G109)=COLUMNS(D109:G109), IFERROR('Technical Sheet'!G2, "-"), "-")</f>
        <v>-</v>
      </c>
      <c r="I109" s="17" t="str">
        <f>IF(OR(E32="Option A (Basic Module only)", E32="Option B (Basic Module and Comprehensive Module)"),
    IF(AND(D109&lt;&gt;"", E109&lt;&gt;"", F109&lt;&gt;"", G109&lt;&gt;"", H109&lt;&gt;""),
        template_label_ok,
        template_label_missing_value
    ),
    ""
)</f>
        <v/>
      </c>
      <c r="J109" s="216" t="str">
        <f>IF(AND(D109&lt;&gt;"", E109&lt;&gt;"", F109&lt;&gt;"", G109&lt;&gt;""),
    IFERROR(HYPERLINK("https://www.openstreetmap.org/search?lat=" &amp; 'Technical Sheet'!E2 &amp; "&amp;lon=" &amp; 'Technical Sheet'!F2, "OpenStreetMap Link"),
    ""),
"")</f>
        <v/>
      </c>
      <c r="K109" s="97" t="str">
        <f t="shared" ref="K109:K133" si="4">LOWER(SUBSTITUTE(D109," ","+" )) &amp; "+" &amp; LOWER(SUBSTITUTE(E109," ","+" )) &amp; "+" &amp; LOWER(SUBSTITUTE(F109," ","+" )) &amp; "+" &amp; LOWER(SUBSTITUTE(G109," ","+" )) &amp; "+"</f>
        <v>++++</v>
      </c>
      <c r="L109" t="str">
        <f>template_label_geolocalisation_warning</f>
        <v>ℹ️  Please be careful to separate each street number and house number using the slash symbol "/" and not the comma ","</v>
      </c>
      <c r="M109" s="90"/>
    </row>
    <row r="110" spans="3:13" x14ac:dyDescent="0.35">
      <c r="C110" s="233">
        <v>2</v>
      </c>
      <c r="D110" s="76"/>
      <c r="E110" s="77"/>
      <c r="F110" s="78"/>
      <c r="G110" s="73"/>
      <c r="H110" s="208" t="str">
        <f>IF(COUNTA(D110:G110)=COLUMNS(D110:G110), IFERROR('Technical Sheet'!G3, "-"), "-")</f>
        <v>-</v>
      </c>
      <c r="I110" s="17" t="str">
        <f t="shared" ref="I110:I133" si="5">IF(AND(D110&lt;&gt;"", E110&lt;&gt;"", F110&lt;&gt;"", G110&lt;&gt;"", H110&lt;&gt;""), template_label_ok,
    IF(AND(D110="", E110="", F110="", G110="", H110="-"), "",
        template_label_missing_value
    )
)</f>
        <v/>
      </c>
      <c r="J110" s="216" t="str">
        <f>IF(AND(D110&lt;&gt;"", E110&lt;&gt;"", F110&lt;&gt;"", G110&lt;&gt;""),
    IFERROR(HYPERLINK("https://www.openstreetmap.org/search?lat=" &amp; 'Technical Sheet'!E3 &amp; "&amp;lon=" &amp; 'Technical Sheet'!F3, "OpenStreetMap Link"),
    ""),
"")</f>
        <v/>
      </c>
      <c r="K110" s="97" t="str">
        <f>LOWER(SUBSTITUTE(D110," ","+" )) &amp; "+" &amp; LOWER(SUBSTITUTE(E110," ","+" )) &amp; "+" &amp; LOWER(SUBSTITUTE(F110," ","+" )) &amp; "+" &amp; LOWER(SUBSTITUTE(G110," ","+" )) &amp; "+"</f>
        <v>++++</v>
      </c>
    </row>
    <row r="111" spans="3:13" ht="15" thickBot="1" x14ac:dyDescent="0.4">
      <c r="C111" s="234">
        <v>3</v>
      </c>
      <c r="D111" s="79"/>
      <c r="E111" s="80"/>
      <c r="F111" s="81"/>
      <c r="G111" s="79"/>
      <c r="H111" s="209" t="str">
        <f>IF(COUNTA(D111:G111)=COLUMNS(D111:G111), IFERROR('Technical Sheet'!G4, "-"), "-")</f>
        <v>-</v>
      </c>
      <c r="I111" s="17" t="str">
        <f t="shared" si="5"/>
        <v/>
      </c>
      <c r="J111" s="216" t="str">
        <f>IF(AND(D111&lt;&gt;"", E111&lt;&gt;"", F111&lt;&gt;"", G111&lt;&gt;""),
    IFERROR(HYPERLINK("https://www.openstreetmap.org/search?lat=" &amp; 'Technical Sheet'!E4 &amp; "&amp;lon=" &amp; 'Technical Sheet'!F4, "OpenStreetMap Link"),
    ""),
"")</f>
        <v/>
      </c>
      <c r="K111" s="97" t="str">
        <f>LOWER(SUBSTITUTE(D111," ","+" )) &amp; "+" &amp; LOWER(SUBSTITUTE(E111," ","+" )) &amp; "+" &amp; LOWER(SUBSTITUTE(F111," ","+" )) &amp; "+" &amp; LOWER(SUBSTITUTE(G111," ","+" )) &amp; "+"</f>
        <v>++++</v>
      </c>
      <c r="L111" t="str">
        <f>template_label_additional_rows_warning</f>
        <v>ℹ️  Lists can be expanded using the little [+] button on the left.  If the number of rows is not sufficient, those can be added by right clicking the second row and selecting "Insert row".</v>
      </c>
    </row>
    <row r="112" spans="3:13" hidden="1" outlineLevel="1" x14ac:dyDescent="0.35">
      <c r="C112" s="233">
        <v>4</v>
      </c>
      <c r="D112" s="76"/>
      <c r="E112" s="77"/>
      <c r="F112" s="78"/>
      <c r="G112" s="76"/>
      <c r="H112" s="210" t="str">
        <f>IF(COUNTA(D112:G112)=COLUMNS(D112:G112), IFERROR('Technical Sheet'!G5, "-"), "-")</f>
        <v>-</v>
      </c>
      <c r="I112" s="17" t="str">
        <f t="shared" si="5"/>
        <v/>
      </c>
      <c r="J112" s="216" t="str">
        <f>IF(AND(D112&lt;&gt;"", E112&lt;&gt;"", F112&lt;&gt;"", G112&lt;&gt;""),
    IFERROR(HYPERLINK("https://www.openstreetmap.org/search?lat=" &amp; 'Technical Sheet'!E5 &amp; "&amp;lon=" &amp; 'Technical Sheet'!F5, "OpenStreetMap Link"),
    ""),
"")</f>
        <v/>
      </c>
      <c r="K112" s="97" t="str">
        <f t="shared" si="4"/>
        <v>++++</v>
      </c>
    </row>
    <row r="113" spans="3:11" hidden="1" outlineLevel="1" x14ac:dyDescent="0.35">
      <c r="C113" s="233">
        <v>5</v>
      </c>
      <c r="D113" s="73"/>
      <c r="E113" s="74"/>
      <c r="F113" s="75"/>
      <c r="G113" s="73"/>
      <c r="H113" s="208" t="str">
        <f>IF(COUNTA(D113:G113)=COLUMNS(D113:G113), IFERROR('Technical Sheet'!G6, "-"), "-")</f>
        <v>-</v>
      </c>
      <c r="I113" s="17" t="str">
        <f t="shared" si="5"/>
        <v/>
      </c>
      <c r="J113" s="216" t="str">
        <f>IF(AND(D113&lt;&gt;"", E113&lt;&gt;"", F113&lt;&gt;"", G113&lt;&gt;""),
    IFERROR(HYPERLINK("https://www.openstreetmap.org/search?lat=" &amp; 'Technical Sheet'!E6 &amp; "&amp;lon=" &amp; 'Technical Sheet'!F6, "OpenStreetMap Link"),
    ""),
"")</f>
        <v/>
      </c>
      <c r="K113" s="97" t="str">
        <f t="shared" si="4"/>
        <v>++++</v>
      </c>
    </row>
    <row r="114" spans="3:11" hidden="1" outlineLevel="1" x14ac:dyDescent="0.35">
      <c r="C114" s="232">
        <v>6</v>
      </c>
      <c r="D114" s="73"/>
      <c r="E114" s="74"/>
      <c r="F114" s="75"/>
      <c r="G114" s="73"/>
      <c r="H114" s="208" t="str">
        <f>IF(COUNTA(D114:G114)=COLUMNS(D114:G114), IFERROR('Technical Sheet'!G7, "-"), "-")</f>
        <v>-</v>
      </c>
      <c r="I114" s="17" t="str">
        <f t="shared" si="5"/>
        <v/>
      </c>
      <c r="J114" s="216" t="str">
        <f>IF(AND(D114&lt;&gt;"", E114&lt;&gt;"", F114&lt;&gt;"", G114&lt;&gt;""),
    IFERROR(HYPERLINK("https://www.openstreetmap.org/search?lat=" &amp; 'Technical Sheet'!E7 &amp; "&amp;lon=" &amp; 'Technical Sheet'!F7, "OpenStreetMap Link"),
    ""),
"")</f>
        <v/>
      </c>
      <c r="K114" s="97" t="str">
        <f t="shared" si="4"/>
        <v>++++</v>
      </c>
    </row>
    <row r="115" spans="3:11" hidden="1" outlineLevel="1" x14ac:dyDescent="0.35">
      <c r="C115" s="232">
        <v>7</v>
      </c>
      <c r="D115" s="73"/>
      <c r="E115" s="74"/>
      <c r="F115" s="75"/>
      <c r="G115" s="73"/>
      <c r="H115" s="208" t="str">
        <f>IF(COUNTA(D115:G115)=COLUMNS(D115:G115), IFERROR('Technical Sheet'!G8, "-"), "-")</f>
        <v>-</v>
      </c>
      <c r="I115" s="17" t="str">
        <f t="shared" si="5"/>
        <v/>
      </c>
      <c r="J115" s="216" t="str">
        <f>IF(AND(D115&lt;&gt;"", E115&lt;&gt;"", F115&lt;&gt;"", G115&lt;&gt;""),
    IFERROR(HYPERLINK("https://www.openstreetmap.org/search?lat=" &amp; 'Technical Sheet'!E8 &amp; "&amp;lon=" &amp; 'Technical Sheet'!F8, "OpenStreetMap Link"),
    ""),
"")</f>
        <v/>
      </c>
      <c r="K115" s="97" t="str">
        <f t="shared" si="4"/>
        <v>++++</v>
      </c>
    </row>
    <row r="116" spans="3:11" hidden="1" outlineLevel="1" x14ac:dyDescent="0.35">
      <c r="C116" s="233">
        <v>8</v>
      </c>
      <c r="D116" s="73"/>
      <c r="E116" s="74"/>
      <c r="F116" s="75"/>
      <c r="G116" s="73"/>
      <c r="H116" s="208" t="str">
        <f>IF(COUNTA(D116:G116)=COLUMNS(D116:G116), IFERROR('Technical Sheet'!G9, "-"), "-")</f>
        <v>-</v>
      </c>
      <c r="I116" s="17" t="str">
        <f t="shared" si="5"/>
        <v/>
      </c>
      <c r="J116" s="216" t="str">
        <f>IF(AND(D116&lt;&gt;"", E116&lt;&gt;"", F116&lt;&gt;"", G116&lt;&gt;""),
    IFERROR(HYPERLINK("https://www.openstreetmap.org/search?lat=" &amp; 'Technical Sheet'!E9 &amp; "&amp;lon=" &amp; 'Technical Sheet'!F9, "OpenStreetMap Link"),
    ""),
"")</f>
        <v/>
      </c>
      <c r="K116" s="97" t="str">
        <f t="shared" si="4"/>
        <v>++++</v>
      </c>
    </row>
    <row r="117" spans="3:11" hidden="1" outlineLevel="1" x14ac:dyDescent="0.35">
      <c r="C117" s="232">
        <v>9</v>
      </c>
      <c r="D117" s="73"/>
      <c r="E117" s="74"/>
      <c r="F117" s="75"/>
      <c r="G117" s="73"/>
      <c r="H117" s="208" t="str">
        <f>IF(COUNTA(D117:G117)=COLUMNS(D117:G117), IFERROR('Technical Sheet'!G10, "-"), "-")</f>
        <v>-</v>
      </c>
      <c r="I117" s="17" t="str">
        <f t="shared" si="5"/>
        <v/>
      </c>
      <c r="J117" s="216" t="str">
        <f>IF(AND(D117&lt;&gt;"", E117&lt;&gt;"", F117&lt;&gt;"", G117&lt;&gt;""),
    IFERROR(HYPERLINK("https://www.openstreetmap.org/search?lat=" &amp; 'Technical Sheet'!E10 &amp; "&amp;lon=" &amp; 'Technical Sheet'!F10, "OpenStreetMap Link"),
    ""),
"")</f>
        <v/>
      </c>
      <c r="K117" s="97" t="str">
        <f t="shared" si="4"/>
        <v>++++</v>
      </c>
    </row>
    <row r="118" spans="3:11" hidden="1" outlineLevel="1" x14ac:dyDescent="0.35">
      <c r="C118" s="232">
        <v>10</v>
      </c>
      <c r="D118" s="73"/>
      <c r="E118" s="74"/>
      <c r="F118" s="75"/>
      <c r="G118" s="73"/>
      <c r="H118" s="208" t="str">
        <f>IF(COUNTA(D118:G118)=COLUMNS(D118:G118), IFERROR('Technical Sheet'!G11, "-"), "-")</f>
        <v>-</v>
      </c>
      <c r="I118" s="17" t="str">
        <f t="shared" si="5"/>
        <v/>
      </c>
      <c r="J118" s="216" t="str">
        <f>IF(AND(D118&lt;&gt;"", E118&lt;&gt;"", F118&lt;&gt;"", G118&lt;&gt;""),
    IFERROR(HYPERLINK("https://www.openstreetmap.org/search?lat=" &amp; 'Technical Sheet'!E11 &amp; "&amp;lon=" &amp; 'Technical Sheet'!F11, "OpenStreetMap Link"),
    ""),
"")</f>
        <v/>
      </c>
      <c r="K118" s="97" t="str">
        <f t="shared" si="4"/>
        <v>++++</v>
      </c>
    </row>
    <row r="119" spans="3:11" hidden="1" outlineLevel="1" x14ac:dyDescent="0.35">
      <c r="C119" s="233">
        <v>11</v>
      </c>
      <c r="D119" s="73"/>
      <c r="E119" s="74"/>
      <c r="F119" s="75"/>
      <c r="G119" s="73"/>
      <c r="H119" s="208" t="str">
        <f>IF(COUNTA(D119:G119)=COLUMNS(D119:G119), IFERROR('Technical Sheet'!G12, "-"), "-")</f>
        <v>-</v>
      </c>
      <c r="I119" s="17" t="str">
        <f t="shared" si="5"/>
        <v/>
      </c>
      <c r="J119" s="216" t="str">
        <f>IF(AND(D119&lt;&gt;"", E119&lt;&gt;"", F119&lt;&gt;"", G119&lt;&gt;""),
    IFERROR(HYPERLINK("https://www.openstreetmap.org/search?lat=" &amp; 'Technical Sheet'!E12 &amp; "&amp;lon=" &amp; 'Technical Sheet'!F12, "OpenStreetMap Link"),
    ""),
"")</f>
        <v/>
      </c>
      <c r="K119" s="97" t="str">
        <f t="shared" si="4"/>
        <v>++++</v>
      </c>
    </row>
    <row r="120" spans="3:11" hidden="1" outlineLevel="1" x14ac:dyDescent="0.35">
      <c r="C120" s="232">
        <v>12</v>
      </c>
      <c r="D120" s="73"/>
      <c r="E120" s="74"/>
      <c r="F120" s="75"/>
      <c r="G120" s="73"/>
      <c r="H120" s="208" t="str">
        <f>IF(COUNTA(D120:G120)=COLUMNS(D120:G120), IFERROR('Technical Sheet'!G13, "-"), "-")</f>
        <v>-</v>
      </c>
      <c r="I120" s="17" t="str">
        <f t="shared" si="5"/>
        <v/>
      </c>
      <c r="J120" s="216" t="str">
        <f>IF(AND(D120&lt;&gt;"", E120&lt;&gt;"", F120&lt;&gt;"", G120&lt;&gt;""),
    IFERROR(HYPERLINK("https://www.openstreetmap.org/search?lat=" &amp; 'Technical Sheet'!E13 &amp; "&amp;lon=" &amp; 'Technical Sheet'!F13, "OpenStreetMap Link"),
    ""),
"")</f>
        <v/>
      </c>
      <c r="K120" s="97" t="str">
        <f t="shared" si="4"/>
        <v>++++</v>
      </c>
    </row>
    <row r="121" spans="3:11" hidden="1" outlineLevel="1" x14ac:dyDescent="0.35">
      <c r="C121" s="232">
        <v>13</v>
      </c>
      <c r="D121" s="73"/>
      <c r="E121" s="74"/>
      <c r="F121" s="75"/>
      <c r="G121" s="73"/>
      <c r="H121" s="208" t="str">
        <f>IF(COUNTA(D121:G121)=COLUMNS(D121:G121), IFERROR('Technical Sheet'!G14, "-"), "-")</f>
        <v>-</v>
      </c>
      <c r="I121" s="17" t="str">
        <f t="shared" si="5"/>
        <v/>
      </c>
      <c r="J121" s="216" t="str">
        <f>IF(AND(D121&lt;&gt;"", E121&lt;&gt;"", F121&lt;&gt;"", G121&lt;&gt;""),
    IFERROR(HYPERLINK("https://www.openstreetmap.org/search?lat=" &amp; 'Technical Sheet'!E14 &amp; "&amp;lon=" &amp; 'Technical Sheet'!F14, "OpenStreetMap Link"),
    ""),
"")</f>
        <v/>
      </c>
      <c r="K121" s="97" t="str">
        <f t="shared" si="4"/>
        <v>++++</v>
      </c>
    </row>
    <row r="122" spans="3:11" hidden="1" outlineLevel="1" x14ac:dyDescent="0.35">
      <c r="C122" s="233">
        <v>14</v>
      </c>
      <c r="D122" s="73"/>
      <c r="E122" s="74"/>
      <c r="F122" s="75"/>
      <c r="G122" s="73"/>
      <c r="H122" s="208" t="str">
        <f>IF(COUNTA(D122:G122)=COLUMNS(D122:G122), IFERROR('Technical Sheet'!G15, "-"), "-")</f>
        <v>-</v>
      </c>
      <c r="I122" s="17" t="str">
        <f t="shared" si="5"/>
        <v/>
      </c>
      <c r="J122" s="216" t="str">
        <f>IF(AND(D122&lt;&gt;"", E122&lt;&gt;"", F122&lt;&gt;"", G122&lt;&gt;""),
    IFERROR(HYPERLINK("https://www.openstreetmap.org/search?lat=" &amp; 'Technical Sheet'!E15 &amp; "&amp;lon=" &amp; 'Technical Sheet'!F15, "OpenStreetMap Link"),
    ""),
"")</f>
        <v/>
      </c>
      <c r="K122" s="97" t="str">
        <f t="shared" si="4"/>
        <v>++++</v>
      </c>
    </row>
    <row r="123" spans="3:11" hidden="1" outlineLevel="1" x14ac:dyDescent="0.35">
      <c r="C123" s="232">
        <v>15</v>
      </c>
      <c r="D123" s="73"/>
      <c r="E123" s="74"/>
      <c r="F123" s="75"/>
      <c r="G123" s="73"/>
      <c r="H123" s="208" t="str">
        <f>IF(COUNTA(D123:G123)=COLUMNS(D123:G123), IFERROR('Technical Sheet'!G16, "-"), "-")</f>
        <v>-</v>
      </c>
      <c r="I123" s="17" t="str">
        <f t="shared" si="5"/>
        <v/>
      </c>
      <c r="J123" s="216" t="str">
        <f>IF(AND(D123&lt;&gt;"", E123&lt;&gt;"", F123&lt;&gt;"", G123&lt;&gt;""),
    IFERROR(HYPERLINK("https://www.openstreetmap.org/search?lat=" &amp; 'Technical Sheet'!E16 &amp; "&amp;lon=" &amp; 'Technical Sheet'!F16, "OpenStreetMap Link"),
    ""),
"")</f>
        <v/>
      </c>
      <c r="K123" s="97" t="str">
        <f t="shared" si="4"/>
        <v>++++</v>
      </c>
    </row>
    <row r="124" spans="3:11" hidden="1" outlineLevel="1" x14ac:dyDescent="0.35">
      <c r="C124" s="232">
        <v>16</v>
      </c>
      <c r="D124" s="73"/>
      <c r="E124" s="74"/>
      <c r="F124" s="75"/>
      <c r="G124" s="73"/>
      <c r="H124" s="208" t="str">
        <f>IF(COUNTA(D124:G124)=COLUMNS(D124:G124), IFERROR('Technical Sheet'!G17, "-"), "-")</f>
        <v>-</v>
      </c>
      <c r="I124" s="17" t="str">
        <f t="shared" si="5"/>
        <v/>
      </c>
      <c r="J124" s="216" t="str">
        <f>IF(AND(D124&lt;&gt;"", E124&lt;&gt;"", F124&lt;&gt;"", G124&lt;&gt;""),
    IFERROR(HYPERLINK("https://www.openstreetmap.org/search?lat=" &amp; 'Technical Sheet'!E17 &amp; "&amp;lon=" &amp; 'Technical Sheet'!F17, "OpenStreetMap Link"),
    ""),
"")</f>
        <v/>
      </c>
      <c r="K124" s="97" t="str">
        <f t="shared" si="4"/>
        <v>++++</v>
      </c>
    </row>
    <row r="125" spans="3:11" hidden="1" outlineLevel="1" x14ac:dyDescent="0.35">
      <c r="C125" s="233">
        <v>17</v>
      </c>
      <c r="D125" s="73"/>
      <c r="E125" s="74"/>
      <c r="F125" s="75"/>
      <c r="G125" s="73"/>
      <c r="H125" s="208" t="str">
        <f>IF(COUNTA(D125:G125)=COLUMNS(D125:G125), IFERROR('Technical Sheet'!G18, "-"), "-")</f>
        <v>-</v>
      </c>
      <c r="I125" s="17" t="str">
        <f t="shared" si="5"/>
        <v/>
      </c>
      <c r="J125" s="216" t="str">
        <f>IF(AND(D125&lt;&gt;"", E125&lt;&gt;"", F125&lt;&gt;"", G125&lt;&gt;""),
    IFERROR(HYPERLINK("https://www.openstreetmap.org/search?lat=" &amp; 'Technical Sheet'!E18 &amp; "&amp;lon=" &amp; 'Technical Sheet'!F18, "OpenStreetMap Link"),
    ""),
"")</f>
        <v/>
      </c>
      <c r="K125" s="97" t="str">
        <f t="shared" si="4"/>
        <v>++++</v>
      </c>
    </row>
    <row r="126" spans="3:11" hidden="1" outlineLevel="1" x14ac:dyDescent="0.35">
      <c r="C126" s="232">
        <v>18</v>
      </c>
      <c r="D126" s="73"/>
      <c r="E126" s="74"/>
      <c r="F126" s="75"/>
      <c r="G126" s="73"/>
      <c r="H126" s="208" t="str">
        <f>IF(COUNTA(D126:G126)=COLUMNS(D126:G126), IFERROR('Technical Sheet'!G19, "-"), "-")</f>
        <v>-</v>
      </c>
      <c r="I126" s="17" t="str">
        <f t="shared" si="5"/>
        <v/>
      </c>
      <c r="J126" s="216" t="str">
        <f>IF(AND(D126&lt;&gt;"", E126&lt;&gt;"", F126&lt;&gt;"", G126&lt;&gt;""),
    IFERROR(HYPERLINK("https://www.openstreetmap.org/search?lat=" &amp; 'Technical Sheet'!E19 &amp; "&amp;lon=" &amp; 'Technical Sheet'!F19, "OpenStreetMap Link"),
    ""),
"")</f>
        <v/>
      </c>
      <c r="K126" s="97" t="str">
        <f t="shared" si="4"/>
        <v>++++</v>
      </c>
    </row>
    <row r="127" spans="3:11" hidden="1" outlineLevel="1" x14ac:dyDescent="0.35">
      <c r="C127" s="232">
        <v>19</v>
      </c>
      <c r="D127" s="73"/>
      <c r="E127" s="74"/>
      <c r="F127" s="75"/>
      <c r="G127" s="73"/>
      <c r="H127" s="208" t="str">
        <f>IF(COUNTA(D127:G127)=COLUMNS(D127:G127), IFERROR('Technical Sheet'!G20, "-"), "-")</f>
        <v>-</v>
      </c>
      <c r="I127" s="17" t="str">
        <f t="shared" si="5"/>
        <v/>
      </c>
      <c r="J127" s="216" t="str">
        <f>IF(AND(D127&lt;&gt;"", E127&lt;&gt;"", F127&lt;&gt;"", G127&lt;&gt;""),
    IFERROR(HYPERLINK("https://www.openstreetmap.org/search?lat=" &amp; 'Technical Sheet'!E20 &amp; "&amp;lon=" &amp; 'Technical Sheet'!F20, "OpenStreetMap Link"),
    ""),
"")</f>
        <v/>
      </c>
      <c r="K127" s="97" t="str">
        <f t="shared" si="4"/>
        <v>++++</v>
      </c>
    </row>
    <row r="128" spans="3:11" hidden="1" outlineLevel="1" x14ac:dyDescent="0.35">
      <c r="C128" s="233">
        <v>20</v>
      </c>
      <c r="D128" s="73"/>
      <c r="E128" s="74"/>
      <c r="F128" s="75"/>
      <c r="G128" s="73"/>
      <c r="H128" s="208" t="str">
        <f>IF(COUNTA(D128:G128)=COLUMNS(D128:G128), IFERROR('Technical Sheet'!G21, "-"), "-")</f>
        <v>-</v>
      </c>
      <c r="I128" s="17" t="str">
        <f t="shared" si="5"/>
        <v/>
      </c>
      <c r="J128" s="216" t="str">
        <f>IF(AND(D128&lt;&gt;"", E128&lt;&gt;"", F128&lt;&gt;"", G128&lt;&gt;""),
    IFERROR(HYPERLINK("https://www.openstreetmap.org/search?lat=" &amp; 'Technical Sheet'!E21 &amp; "&amp;lon=" &amp; 'Technical Sheet'!F21, "OpenStreetMap Link"),
    ""),
"")</f>
        <v/>
      </c>
      <c r="K128" s="97" t="str">
        <f t="shared" si="4"/>
        <v>++++</v>
      </c>
    </row>
    <row r="129" spans="2:17" hidden="1" outlineLevel="1" x14ac:dyDescent="0.35">
      <c r="C129" s="232">
        <v>21</v>
      </c>
      <c r="D129" s="73"/>
      <c r="E129" s="74"/>
      <c r="F129" s="75"/>
      <c r="G129" s="73"/>
      <c r="H129" s="208" t="str">
        <f>IF(COUNTA(D129:G129)=COLUMNS(D129:G129), IFERROR('Technical Sheet'!G22, "-"), "-")</f>
        <v>-</v>
      </c>
      <c r="I129" s="17" t="str">
        <f t="shared" si="5"/>
        <v/>
      </c>
      <c r="J129" s="216" t="str">
        <f>IF(AND(D129&lt;&gt;"", E129&lt;&gt;"", F129&lt;&gt;"", G129&lt;&gt;""),
    IFERROR(HYPERLINK("https://www.openstreetmap.org/search?lat=" &amp; 'Technical Sheet'!E22 &amp; "&amp;lon=" &amp; 'Technical Sheet'!F22, "OpenStreetMap Link"),
    ""),
"")</f>
        <v/>
      </c>
      <c r="K129" s="97" t="str">
        <f t="shared" si="4"/>
        <v>++++</v>
      </c>
    </row>
    <row r="130" spans="2:17" hidden="1" outlineLevel="1" x14ac:dyDescent="0.35">
      <c r="C130" s="232">
        <v>22</v>
      </c>
      <c r="D130" s="73"/>
      <c r="E130" s="74"/>
      <c r="F130" s="75"/>
      <c r="G130" s="73"/>
      <c r="H130" s="208" t="str">
        <f>IF(COUNTA(D130:G130)=COLUMNS(D130:G130), IFERROR('Technical Sheet'!G23, "-"), "-")</f>
        <v>-</v>
      </c>
      <c r="I130" s="17" t="str">
        <f t="shared" si="5"/>
        <v/>
      </c>
      <c r="J130" s="216" t="str">
        <f>IF(AND(D130&lt;&gt;"", E130&lt;&gt;"", F130&lt;&gt;"", G130&lt;&gt;""),
    IFERROR(HYPERLINK("https://www.openstreetmap.org/search?lat=" &amp; 'Technical Sheet'!E23 &amp; "&amp;lon=" &amp; 'Technical Sheet'!F23, "OpenStreetMap Link"),
    ""),
"")</f>
        <v/>
      </c>
      <c r="K130" s="97" t="str">
        <f t="shared" si="4"/>
        <v>++++</v>
      </c>
    </row>
    <row r="131" spans="2:17" hidden="1" outlineLevel="1" x14ac:dyDescent="0.35">
      <c r="C131" s="233">
        <v>23</v>
      </c>
      <c r="D131" s="73"/>
      <c r="E131" s="74"/>
      <c r="F131" s="75"/>
      <c r="G131" s="73"/>
      <c r="H131" s="208" t="str">
        <f>IF(COUNTA(D131:G131)=COLUMNS(D131:G131), IFERROR('Technical Sheet'!G24, "-"), "-")</f>
        <v>-</v>
      </c>
      <c r="I131" s="17" t="str">
        <f t="shared" si="5"/>
        <v/>
      </c>
      <c r="J131" s="216" t="str">
        <f>IF(AND(D131&lt;&gt;"", E131&lt;&gt;"", F131&lt;&gt;"", G131&lt;&gt;""),
    IFERROR(HYPERLINK("https://www.openstreetmap.org/search?lat=" &amp; 'Technical Sheet'!E24 &amp; "&amp;lon=" &amp; 'Technical Sheet'!F24, "OpenStreetMap Link"),
    ""),
"")</f>
        <v/>
      </c>
      <c r="K131" s="97" t="str">
        <f t="shared" si="4"/>
        <v>++++</v>
      </c>
    </row>
    <row r="132" spans="2:17" hidden="1" outlineLevel="1" x14ac:dyDescent="0.35">
      <c r="C132" s="384">
        <v>24</v>
      </c>
      <c r="D132" s="82"/>
      <c r="E132" s="83"/>
      <c r="F132" s="84"/>
      <c r="G132" s="82"/>
      <c r="H132" s="208" t="str">
        <f>IF(COUNTA(D132:G132)=COLUMNS(D132:G132), IFERROR('Technical Sheet'!G25, "-"), "-")</f>
        <v>-</v>
      </c>
      <c r="I132" s="17" t="str">
        <f t="shared" si="5"/>
        <v/>
      </c>
      <c r="J132" s="216" t="str">
        <f>IF(AND(D132&lt;&gt;"", E132&lt;&gt;"", F132&lt;&gt;"", G132&lt;&gt;""),
    IFERROR(HYPERLINK("https://www.openstreetmap.org/search?lat=" &amp; 'Technical Sheet'!E25 &amp; "&amp;lon=" &amp; 'Technical Sheet'!F25, "OpenStreetMap Link"),
    ""),
"")</f>
        <v/>
      </c>
      <c r="K132" s="97" t="str">
        <f t="shared" si="4"/>
        <v>++++</v>
      </c>
    </row>
    <row r="133" spans="2:17" ht="15" hidden="1" outlineLevel="1" thickBot="1" x14ac:dyDescent="0.4">
      <c r="C133" s="234">
        <v>25</v>
      </c>
      <c r="D133" s="79"/>
      <c r="E133" s="80"/>
      <c r="F133" s="81"/>
      <c r="G133" s="79"/>
      <c r="H133" s="209" t="str">
        <f>IF(COUNTA(D133:G133)=COLUMNS(D133:G133), IFERROR('Technical Sheet'!G26, "-"), "-")</f>
        <v>-</v>
      </c>
      <c r="I133" s="17" t="str">
        <f t="shared" si="5"/>
        <v/>
      </c>
      <c r="J133" s="216" t="str">
        <f>IF(AND(D133&lt;&gt;"", E133&lt;&gt;"", F133&lt;&gt;"", G133&lt;&gt;""),
    IFERROR(HYPERLINK("https://www.openstreetmap.org/search?lat=" &amp; 'Technical Sheet'!E26 &amp; "&amp;lon=" &amp; 'Technical Sheet'!F26, "OpenStreetMap Link"),
    ""),
"")</f>
        <v/>
      </c>
      <c r="K133" s="97" t="str">
        <f t="shared" si="4"/>
        <v>++++</v>
      </c>
    </row>
    <row r="134" spans="2:17" ht="15" customHeight="1" collapsed="1" thickBot="1" x14ac:dyDescent="0.4"/>
    <row r="135" spans="2:17" ht="38.15" customHeight="1" x14ac:dyDescent="0.35">
      <c r="C135" s="563" t="str">
        <f xml:space="preserve"> template_label_b2_practices_policies_and_future_initiatives_for_transitioning_towards_a_more_sustainable_economy &amp; " " &amp; template_label_from &amp; " " &amp; template_starting_date_display &amp; " " &amp; template_label_to &amp; " " &amp; template_ending_date_display &amp; " " &amp; template_label_if_applicable</f>
        <v>B2 – Practices policies and future initiatives for transitioning towards a more sustainable economy from - to - [If applicable]</v>
      </c>
      <c r="D135" s="564"/>
      <c r="E135" s="564"/>
      <c r="F135" s="564"/>
      <c r="G135" s="564"/>
      <c r="H135" s="564"/>
      <c r="I135" s="564"/>
      <c r="J135" s="564"/>
      <c r="K135" s="564"/>
      <c r="L135" s="564"/>
      <c r="M135" s="564"/>
      <c r="N135" s="564"/>
      <c r="O135" s="565"/>
    </row>
    <row r="136" spans="2:17" s="10" customFormat="1" x14ac:dyDescent="0.35">
      <c r="C136" s="516" t="s">
        <v>3740</v>
      </c>
      <c r="D136" s="517"/>
      <c r="E136" s="517"/>
      <c r="F136" s="517"/>
      <c r="G136" s="517"/>
      <c r="H136" s="517"/>
      <c r="I136" s="517"/>
      <c r="J136" s="517"/>
      <c r="K136" s="517"/>
      <c r="L136" s="517"/>
      <c r="M136" s="517"/>
      <c r="N136" s="517"/>
      <c r="O136" s="518"/>
      <c r="P136"/>
      <c r="Q136"/>
    </row>
    <row r="137" spans="2:17" x14ac:dyDescent="0.35">
      <c r="C137" s="630" t="s">
        <v>5646</v>
      </c>
      <c r="D137" s="631"/>
      <c r="E137" s="631"/>
      <c r="F137" s="631"/>
      <c r="G137" s="631"/>
      <c r="H137" s="631"/>
      <c r="I137" s="631"/>
      <c r="J137" s="631"/>
      <c r="K137" s="631"/>
      <c r="L137" s="631"/>
      <c r="M137" s="631"/>
      <c r="N137" s="631"/>
      <c r="O137" s="632"/>
    </row>
    <row r="138" spans="2:17" x14ac:dyDescent="0.35">
      <c r="C138" s="635" t="str">
        <f>template_label_has_the_undertaking_put_in_place_specific_practices_policies_and_or_future</f>
        <v>Has the undertaking put in place specific practices policies and or future initiatives for transitioning towards a more sustainable economy?</v>
      </c>
      <c r="D138" s="519" t="str">
        <f>template_label_sustainability_issues_addressed_by_a_practice_policy_and_or_future_initiatives_put_in_place</f>
        <v>Sustainability issues addressed by a practice policy and or future initiatives that the undertaking has put in place</v>
      </c>
      <c r="E138" s="519"/>
      <c r="F138" s="519"/>
      <c r="G138" s="519"/>
      <c r="H138" s="519"/>
      <c r="I138" s="519"/>
      <c r="J138" s="519"/>
      <c r="K138" s="519"/>
      <c r="L138" s="519"/>
      <c r="M138" s="519"/>
      <c r="N138" s="520" t="str">
        <f>template_label_undertaking_has_a_practice_policy_and_or_future_initiative_that_is_publicly_available</f>
        <v>Undertaking has a practice policy and or future initiative that is publicly available</v>
      </c>
      <c r="O138" s="522" t="str">
        <f>template_label_undertaking_has_set_a_target_which_is_related_to_a_policy</f>
        <v>Undertaking has set a target which is related to a policy</v>
      </c>
    </row>
    <row r="139" spans="2:17" ht="41.4" customHeight="1" x14ac:dyDescent="0.35">
      <c r="C139" s="636"/>
      <c r="D139" s="86" t="str">
        <f>template_label_climate_change</f>
        <v>Climate change</v>
      </c>
      <c r="E139" s="86" t="str">
        <f>template_label_pollution</f>
        <v>Pollution</v>
      </c>
      <c r="F139" s="86" t="str">
        <f>template_label_water_and_marine_resources</f>
        <v>Water and marine resources</v>
      </c>
      <c r="G139" s="86" t="str">
        <f>template_label_biodiversity_and_ecosystems</f>
        <v>Biodiversity and ecosystems</v>
      </c>
      <c r="H139" s="86" t="str">
        <f>template_label_circular_economy</f>
        <v>Circular economy</v>
      </c>
      <c r="I139" s="86" t="str">
        <f>template_label_own_workforce</f>
        <v>Own workforce</v>
      </c>
      <c r="J139" s="86" t="str">
        <f>template_label_workers_in_the_value_chain</f>
        <v>Workers in the value chain</v>
      </c>
      <c r="K139" s="86" t="str">
        <f>template_label_affected_communities</f>
        <v>Affected communities</v>
      </c>
      <c r="L139" s="86" t="str">
        <f>template_label_consumers_and_endusers_validation</f>
        <v>Consumers and end-users</v>
      </c>
      <c r="M139" s="86" t="str">
        <f>template_label_business_conduct</f>
        <v>Business conduct</v>
      </c>
      <c r="N139" s="521"/>
      <c r="O139" s="523"/>
    </row>
    <row r="140" spans="2:17" ht="15" thickBot="1" x14ac:dyDescent="0.4">
      <c r="C140" s="207" t="b">
        <v>0</v>
      </c>
      <c r="D140" s="206" t="b">
        <v>0</v>
      </c>
      <c r="E140" s="204" t="b">
        <v>0</v>
      </c>
      <c r="F140" s="204" t="b">
        <v>0</v>
      </c>
      <c r="G140" s="204" t="b">
        <v>0</v>
      </c>
      <c r="H140" s="204" t="b">
        <v>0</v>
      </c>
      <c r="I140" s="204" t="b">
        <v>0</v>
      </c>
      <c r="J140" s="204" t="b">
        <v>0</v>
      </c>
      <c r="K140" s="204" t="b">
        <v>0</v>
      </c>
      <c r="L140" s="204" t="b">
        <v>0</v>
      </c>
      <c r="M140" s="204" t="b">
        <v>0</v>
      </c>
      <c r="N140" s="204" t="b">
        <v>0</v>
      </c>
      <c r="O140" s="205" t="b">
        <v>0</v>
      </c>
      <c r="P140" s="16" t="str">
        <f>IF(C140=TRUE, IF(COUNTIF(D140:M140, TRUE)&gt;0, template_label_ok, template_label_missing_value), "")</f>
        <v/>
      </c>
    </row>
    <row r="141" spans="2:17" ht="57.5" customHeight="1" thickBot="1" x14ac:dyDescent="0.4">
      <c r="F141"/>
    </row>
    <row r="142" spans="2:17" x14ac:dyDescent="0.35">
      <c r="C142" s="622" t="str">
        <f xml:space="preserve"> template_label_b2_cooperative_specific_disclosures &amp; " " &amp; template_label_from &amp; " " &amp; template_starting_date_display &amp; " " &amp; template_label_to &amp; " " &amp; template_ending_date_display &amp; " " &amp; template_label_if_applicable</f>
        <v>B2 - Cooperative specific disclosures from - to - [If applicable]</v>
      </c>
      <c r="D142" s="623"/>
      <c r="F142"/>
    </row>
    <row r="143" spans="2:17" x14ac:dyDescent="0.35">
      <c r="C143" s="633">
        <v>15</v>
      </c>
      <c r="D143" s="634"/>
      <c r="F143"/>
    </row>
    <row r="144" spans="2:17" ht="30.65" customHeight="1" x14ac:dyDescent="0.35">
      <c r="B144" s="252"/>
      <c r="C144" s="2" t="str">
        <f>template_label_effective_participation_of_workers_users_or_other_interested_parties_or_communities_in_governance</f>
        <v>Effective participation of workers users or other interested parties or communities in governance</v>
      </c>
      <c r="D144" s="295"/>
      <c r="E144" s="16" t="str">
        <f>IF(AND(D144&lt;&gt;"", UndertakingsLegalForm="cooperative"), template_label_ok, "")</f>
        <v/>
      </c>
      <c r="F144"/>
    </row>
    <row r="145" spans="1:8" ht="57" customHeight="1" x14ac:dyDescent="0.35">
      <c r="B145" s="252"/>
      <c r="C145" s="442" t="str">
        <f>template_label_financial_investment_in_the_capital_or_assets_of_social_economy_entities</f>
        <v>Financial investment in the capital or assets of social economy entities referred to in the Council Recommendation of 29 September 2023 (excluding donations and contributions)</v>
      </c>
      <c r="D145" s="296"/>
      <c r="E145" s="16" t="str">
        <f>IF(AND(D145&lt;&gt;"", UndertakingsLegalForm="cooperative"), template_label_ok, "")</f>
        <v/>
      </c>
      <c r="F145"/>
    </row>
    <row r="146" spans="1:8" ht="47.4" customHeight="1" thickBot="1" x14ac:dyDescent="0.4">
      <c r="B146" s="252"/>
      <c r="C146" s="114" t="str">
        <f>template_label_limits_to_the_distribution_of_profits</f>
        <v>Any limits to the distribution of profits connected to the mutualistic nature or to the nature of the activities consisting in services of general economic interest (SGEI)</v>
      </c>
      <c r="D146" s="297"/>
      <c r="E146" s="16" t="str">
        <f>IF(AND(D146&lt;&gt;"", UndertakingsLegalForm="cooperative"), template_label_ok, "")</f>
        <v/>
      </c>
      <c r="F146"/>
    </row>
    <row r="147" spans="1:8" ht="50" customHeight="1" thickBot="1" x14ac:dyDescent="0.4">
      <c r="C147" s="120"/>
      <c r="F147"/>
    </row>
    <row r="148" spans="1:8" x14ac:dyDescent="0.35">
      <c r="C148" s="594" t="str">
        <f>template_label_c2_description_of_practices_policies_and_future_initiatives_for_transitioning_towards_a_more_sustainable_economy&amp; " " &amp; template_label_from &amp; " " &amp; template_starting_date_display &amp; " " &amp; template_label_to &amp; " " &amp; template_ending_date_display &amp; " " &amp; template_label_if_applicable_linked_to_b2</f>
        <v>C2 – Description of practices policies and future initiatives for transitioning towards a more sustainable economy from - to - [If applicable linked with B2]</v>
      </c>
      <c r="D148" s="595"/>
      <c r="E148" s="595"/>
      <c r="F148" s="595"/>
      <c r="G148" s="596"/>
    </row>
    <row r="149" spans="1:8" ht="38" customHeight="1" x14ac:dyDescent="0.35">
      <c r="A149" s="464">
        <v>48</v>
      </c>
      <c r="B149" s="467">
        <v>149</v>
      </c>
      <c r="C149" s="605" t="str">
        <f>template_label_description_of_a_practice_policy_and_or_future_initiative_towards_a_more_sustainable_future</f>
        <v>Description of a practice policy and or future initiative towards a more sustainable future (In case the practice  policy  future initiative covers suppliers or clients the undertaking shall mention it)</v>
      </c>
      <c r="D149" s="606"/>
      <c r="E149" s="649"/>
      <c r="F149" s="650"/>
      <c r="G149" s="651"/>
      <c r="H149" s="16" t="str">
        <f>IF(AND(BasisForPreparation="Option B (Basic Module and Comprehensive Module)", C140=TRUE, DescriptionOfPracticesPoliciesAndOrFutureInitiatives=""), template_label_missing_value,
IF(AND(BasisForPreparation="Option B (Basic Module and Comprehensive Module)", C140=TRUE, DescriptionOfPracticesPoliciesAndOrFutureInitiatives&lt;&gt;""), template_label_ok,
IF(AND(BasisForPreparation="Option A (Basic Module only)", E149&lt;&gt;""), template_label_ok, "")))</f>
        <v/>
      </c>
    </row>
    <row r="150" spans="1:8" x14ac:dyDescent="0.35">
      <c r="A150" s="251" t="s">
        <v>1</v>
      </c>
      <c r="B150" s="467">
        <v>149</v>
      </c>
      <c r="C150" s="574" t="str">
        <f>template_label_description_of_target_related_to_a_policy</f>
        <v>Description of target related to a policy</v>
      </c>
      <c r="D150" s="575"/>
      <c r="E150" s="649"/>
      <c r="F150" s="650"/>
      <c r="G150" s="651"/>
      <c r="H150" s="16" t="str">
        <f>IF(AND(BasisForPreparation="Option B (Basic Module and Comprehensive Module)", C140=TRUE, O140=TRUE, E150=""), template_label_missing_value,
IF(AND(BasisForPreparation="Option B (Basic Module and Comprehensive Module)", C140=TRUE, O140=TRUE, E150&lt;&gt;""), template_label_ok,
IF(AND(BasisForPreparation="Option A (Basic Module only)", E150&lt;&gt;""), template_label_ok, "")))</f>
        <v/>
      </c>
    </row>
    <row r="151" spans="1:8" ht="15" thickBot="1" x14ac:dyDescent="0.4">
      <c r="A151" s="464">
        <v>49</v>
      </c>
      <c r="B151" s="467">
        <v>149</v>
      </c>
      <c r="C151" s="552" t="str">
        <f>template_label_most_senior_level_accountable_for_implementing_practices_policies_and_or_future_initiatives</f>
        <v>Most senior level within its employees that is accountable for implementing the policies when this has been determined by the undertaking</v>
      </c>
      <c r="D151" s="553"/>
      <c r="E151" s="652"/>
      <c r="F151" s="653"/>
      <c r="G151" s="654"/>
      <c r="H151" s="16" t="str">
        <f>IF(AND(BasisForPreparation="Option B (Basic Module and Comprehensive Module)", C140=TRUE, MostSeniorLevelAccountableForImplementationOfPolicies=""), template_label_missing_value,
IF(AND(BasisForPreparation="Option B (Basic Module and Comprehensive Module)", C140=TRUE, MostSeniorLevelAccountableForImplementationOfPolicies&lt;&gt;""), template_label_ok,
IF(AND(BasisForPreparation="Option A (Basic Module only)", E151&lt;&gt;""), template_label_ok, "")))</f>
        <v/>
      </c>
    </row>
    <row r="152" spans="1:8" ht="14.75" customHeight="1" x14ac:dyDescent="0.35">
      <c r="F152"/>
    </row>
    <row r="153" spans="1:8" ht="14.75" customHeight="1" thickBot="1" x14ac:dyDescent="0.4">
      <c r="F153"/>
    </row>
    <row r="154" spans="1:8" ht="14.9" customHeight="1" x14ac:dyDescent="0.35">
      <c r="C154" s="594" t="str">
        <f xml:space="preserve"> template_label_c1_strategy_business_model_and_sustainability_related_initiatives &amp; " " &amp; template_label_from &amp; " " &amp; template_starting_date_display &amp; " " &amp; template_label_to &amp; " " &amp; template_ending_date_display &amp; " " &amp;  template_label_always_to_be_reported</f>
        <v>C1 – Strategy: Business Model and Sustainability – Related Initiatives from - to - [Always to be reported]</v>
      </c>
      <c r="D154" s="595"/>
      <c r="E154" s="595"/>
      <c r="F154" s="595"/>
      <c r="G154" s="596"/>
    </row>
    <row r="155" spans="1:8" x14ac:dyDescent="0.35">
      <c r="A155" s="462" t="s">
        <v>3741</v>
      </c>
      <c r="B155" s="250" t="s">
        <v>1</v>
      </c>
      <c r="C155" s="556" t="str">
        <f>template_label_description_of_significant_groups_of_products_and_or_services_offered</f>
        <v>Description of significant groups of products and or services offered</v>
      </c>
      <c r="D155" s="557"/>
      <c r="E155" s="543"/>
      <c r="F155" s="544"/>
      <c r="G155" s="545"/>
      <c r="H155" s="16" t="str">
        <f>IF(AND($E$32="Option B (Basic Module and Comprehensive Module)", E155=""), template_label_missing_value,
   IF(AND($E$32="Option A (Basic Module only)", E155&lt;&gt;""), template_label_ok,
   IF(AND($E$32="Option B (Basic Module and Comprehensive Module)", E155&lt;&gt;""), template_label_ok, "")))</f>
        <v/>
      </c>
    </row>
    <row r="156" spans="1:8" x14ac:dyDescent="0.35">
      <c r="A156" s="462" t="s">
        <v>3742</v>
      </c>
      <c r="B156" s="250" t="s">
        <v>1</v>
      </c>
      <c r="C156" s="558" t="str">
        <f>template_label_description_of_significant_market_the_undertaking_operates_in</f>
        <v>Description of significant market(s) the undertaking operates in (e.g. B2B, wholesale, retail, countries)</v>
      </c>
      <c r="D156" s="559"/>
      <c r="E156" s="546"/>
      <c r="F156" s="546"/>
      <c r="G156" s="547"/>
      <c r="H156" s="16" t="str">
        <f>IF(AND($E$32="Option B (Basic Module and Comprehensive Module)", E156=""), template_label_missing_value,
   IF(AND($E$32="Option A (Basic Module only)", E156&lt;&gt;""), template_label_ok,
   IF(AND($E$32="Option B (Basic Module and Comprehensive Module)", E156&lt;&gt;""), template_label_ok, "")))</f>
        <v/>
      </c>
    </row>
    <row r="157" spans="1:8" ht="15" thickBot="1" x14ac:dyDescent="0.4">
      <c r="A157" s="462" t="s">
        <v>3743</v>
      </c>
      <c r="B157" s="465">
        <v>148</v>
      </c>
      <c r="C157" s="554" t="str">
        <f>template_label_description_of_main_business_relationships</f>
        <v>Description of main business relationships (such as key suppliers, customers, distribution channels)</v>
      </c>
      <c r="D157" s="555"/>
      <c r="E157" s="548"/>
      <c r="F157" s="548"/>
      <c r="G157" s="549"/>
      <c r="H157" s="16" t="str">
        <f>IF(AND($E$32="Option B (Basic Module and Comprehensive Module)", E157=""), template_label_missing_value,
   IF(AND($E$32="Option A (Basic Module only)", E157&lt;&gt;""), template_label_ok,
   IF(AND($E$32="Option B (Basic Module and Comprehensive Module)", E157&lt;&gt;""), template_label_ok, "")))</f>
        <v/>
      </c>
    </row>
    <row r="158" spans="1:8" ht="27" customHeight="1" thickBot="1" x14ac:dyDescent="0.4">
      <c r="F158"/>
    </row>
    <row r="159" spans="1:8" ht="14.4" customHeight="1" x14ac:dyDescent="0.35">
      <c r="C159" s="594" t="str">
        <f xml:space="preserve"> template_label_c1_strategy_business_model_and_sustainability_related_initiatives &amp; " " &amp; template_label_from &amp; " " &amp; template_starting_date_display &amp; " " &amp; template_label_to &amp; " " &amp; template_ending_date_display &amp; " " &amp; template_label_if_applicable</f>
        <v>C1 – Strategy: Business Model and Sustainability – Related Initiatives from - to - [If applicable]</v>
      </c>
      <c r="D159" s="595"/>
      <c r="E159" s="595"/>
      <c r="F159" s="595"/>
      <c r="G159" s="596"/>
    </row>
    <row r="160" spans="1:8" x14ac:dyDescent="0.35">
      <c r="C160" s="645" t="str">
        <f>template_label_has_the_strategy_key_elements_that_relate_to_or_affect_sustainability_issues</f>
        <v>Has the strategy key elements that relate to or affect sustainability issues?</v>
      </c>
      <c r="D160" s="646"/>
      <c r="E160" s="647" t="b">
        <v>0</v>
      </c>
      <c r="F160" s="647"/>
      <c r="G160" s="648"/>
    </row>
    <row r="161" spans="1:15" ht="15" thickBot="1" x14ac:dyDescent="0.4">
      <c r="A161" s="462" t="s">
        <v>3744</v>
      </c>
      <c r="B161" s="250" t="s">
        <v>1</v>
      </c>
      <c r="C161" s="552" t="str">
        <f>template_label_description_of_those_key_elements_in_the_strategy_that_relate_or_affect_sustainability_issues</f>
        <v>Description of those key elements in the strategy that relate or affect sustainability issues</v>
      </c>
      <c r="D161" s="553"/>
      <c r="E161" s="550"/>
      <c r="F161" s="550"/>
      <c r="G161" s="551"/>
      <c r="H161" s="16" t="str">
        <f>IF(AND($E$32="Option B (Basic Module and Comprehensive Module)", E161="", E160=TRUE), template_label_missing_value,
   IF(AND($E$32="Option A (Basic Module only)", E161&lt;&gt;"", E160=TRUE), template_label_ok,
   IF(AND($E$32="Option B (Basic Module and Comprehensive Module)", E161&lt;&gt;"", E160=TRUE), template_label_ok, "")))</f>
        <v/>
      </c>
    </row>
    <row r="162" spans="1:15" ht="15" thickBot="1" x14ac:dyDescent="0.4"/>
    <row r="163" spans="1:15" ht="14.9" customHeight="1" x14ac:dyDescent="0.35">
      <c r="C163" s="540" t="str">
        <f xml:space="preserve"> template_label_disclosure_of_any_other_general_and_or_entity_specific_information_on_the_reporting_period &amp; " " &amp; template_label_from &amp; " " &amp; template_starting_date_display &amp; " " &amp; template_label_to &amp; " " &amp; template_ending_date_display &amp; " " &amp; template_label_may</f>
        <v>Disclosure of any other general and or entity specific information on the reporting period from - to - [May (optional)]</v>
      </c>
      <c r="D163" s="541"/>
      <c r="E163" s="541"/>
      <c r="F163" s="541"/>
      <c r="G163" s="541"/>
      <c r="H163" s="542"/>
      <c r="I163" s="10"/>
      <c r="J163" s="10"/>
      <c r="K163" s="10"/>
      <c r="L163" s="10"/>
      <c r="M163" s="10"/>
      <c r="N163" s="10"/>
      <c r="O163" s="10"/>
    </row>
    <row r="164" spans="1:15" ht="14.9" customHeight="1" x14ac:dyDescent="0.35">
      <c r="B164" s="252"/>
      <c r="C164" s="538">
        <v>10</v>
      </c>
      <c r="D164" s="538"/>
      <c r="E164" s="538"/>
      <c r="F164" s="538"/>
      <c r="G164" s="538"/>
      <c r="H164" s="539"/>
      <c r="I164" s="10"/>
      <c r="J164" s="10"/>
      <c r="K164" s="10"/>
      <c r="L164" s="10"/>
      <c r="M164" s="10"/>
      <c r="N164" s="10"/>
      <c r="O164" s="10"/>
    </row>
    <row r="165" spans="1:15" ht="15" thickBot="1" x14ac:dyDescent="0.4">
      <c r="C165" s="534"/>
      <c r="D165" s="535"/>
      <c r="E165" s="535"/>
      <c r="F165" s="535"/>
      <c r="G165" s="535"/>
      <c r="H165" s="535"/>
      <c r="I165" s="88" t="str">
        <f>IF(C165&lt;&gt;"", template_label_ok, "")</f>
        <v/>
      </c>
    </row>
  </sheetData>
  <sheetProtection algorithmName="SHA-512" hashValue="NSfg/pf1m0KEnrGe1ElVLvEdsw9MgeQICvuXEydKEqKK1YEJGcl2/MbwBX/rAYoiChx4CtZ/vcvU7wrk/gBSBg==" saltValue="MN4yk4IM+2oAezCl/OXpPg==" spinCount="100000" sheet="1" formatColumns="0" formatRows="0" insertRows="0"/>
  <mergeCells count="85">
    <mergeCell ref="C160:D160"/>
    <mergeCell ref="E160:G160"/>
    <mergeCell ref="C159:G159"/>
    <mergeCell ref="C151:D151"/>
    <mergeCell ref="E149:G149"/>
    <mergeCell ref="E151:G151"/>
    <mergeCell ref="E150:G150"/>
    <mergeCell ref="C149:D149"/>
    <mergeCell ref="C150:D150"/>
    <mergeCell ref="C154:G154"/>
    <mergeCell ref="C142:D142"/>
    <mergeCell ref="C96:H96"/>
    <mergeCell ref="C98:H98"/>
    <mergeCell ref="C137:O137"/>
    <mergeCell ref="C143:D143"/>
    <mergeCell ref="C138:C139"/>
    <mergeCell ref="C99:D99"/>
    <mergeCell ref="E99:H99"/>
    <mergeCell ref="C104:H104"/>
    <mergeCell ref="C103:H103"/>
    <mergeCell ref="C102:H102"/>
    <mergeCell ref="C148:G148"/>
    <mergeCell ref="C2:E2"/>
    <mergeCell ref="C100:D100"/>
    <mergeCell ref="C16:E16"/>
    <mergeCell ref="C32:D32"/>
    <mergeCell ref="C18:D18"/>
    <mergeCell ref="C61:D61"/>
    <mergeCell ref="C62:D62"/>
    <mergeCell ref="C17:E17"/>
    <mergeCell ref="C42:D42"/>
    <mergeCell ref="C19:D28"/>
    <mergeCell ref="C67:E67"/>
    <mergeCell ref="D3:E3"/>
    <mergeCell ref="D5:E5"/>
    <mergeCell ref="D6:E6"/>
    <mergeCell ref="D7:E7"/>
    <mergeCell ref="A43:A44"/>
    <mergeCell ref="B43:B44"/>
    <mergeCell ref="C44:D44"/>
    <mergeCell ref="C43:D43"/>
    <mergeCell ref="D9:E9"/>
    <mergeCell ref="D10:E10"/>
    <mergeCell ref="D11:E11"/>
    <mergeCell ref="D12:E12"/>
    <mergeCell ref="D13:E13"/>
    <mergeCell ref="C31:E31"/>
    <mergeCell ref="C33:D41"/>
    <mergeCell ref="A45:A59"/>
    <mergeCell ref="B45:B59"/>
    <mergeCell ref="C45:D59"/>
    <mergeCell ref="C64:D64"/>
    <mergeCell ref="C65:D65"/>
    <mergeCell ref="C60:D60"/>
    <mergeCell ref="C63:D63"/>
    <mergeCell ref="C165:H165"/>
    <mergeCell ref="C29:D29"/>
    <mergeCell ref="C164:H164"/>
    <mergeCell ref="C163:H163"/>
    <mergeCell ref="E155:G155"/>
    <mergeCell ref="E156:G156"/>
    <mergeCell ref="E157:G157"/>
    <mergeCell ref="E161:G161"/>
    <mergeCell ref="C161:D161"/>
    <mergeCell ref="C157:D157"/>
    <mergeCell ref="C155:D155"/>
    <mergeCell ref="C156:D156"/>
    <mergeCell ref="C97:H97"/>
    <mergeCell ref="C68:E68"/>
    <mergeCell ref="E100:H100"/>
    <mergeCell ref="C135:O135"/>
    <mergeCell ref="G6:K8"/>
    <mergeCell ref="G10:K12"/>
    <mergeCell ref="C136:O136"/>
    <mergeCell ref="D138:M138"/>
    <mergeCell ref="N138:N139"/>
    <mergeCell ref="O138:O139"/>
    <mergeCell ref="C105:C108"/>
    <mergeCell ref="G105:G108"/>
    <mergeCell ref="F105:F108"/>
    <mergeCell ref="E105:E108"/>
    <mergeCell ref="D105:D108"/>
    <mergeCell ref="F6:F8"/>
    <mergeCell ref="F10:F12"/>
    <mergeCell ref="D8:E8"/>
  </mergeCells>
  <phoneticPr fontId="3" type="noConversion"/>
  <conditionalFormatting sqref="C19 C29:D29">
    <cfRule type="expression" dxfId="325" priority="87">
      <formula>$E$18=TRUE</formula>
    </cfRule>
  </conditionalFormatting>
  <conditionalFormatting sqref="C44">
    <cfRule type="expression" dxfId="324" priority="103">
      <formula>$E$43="other (please specify the legal form in the row below)"</formula>
    </cfRule>
  </conditionalFormatting>
  <conditionalFormatting sqref="D144:D146">
    <cfRule type="expression" dxfId="323" priority="8">
      <formula>$E$43="cooperative"</formula>
    </cfRule>
  </conditionalFormatting>
  <conditionalFormatting sqref="D70:E94">
    <cfRule type="expression" dxfId="322" priority="55">
      <formula>$E$42="Sustainability report prepared on a consolidated basis"</formula>
    </cfRule>
  </conditionalFormatting>
  <conditionalFormatting sqref="D140:O140 E149 E151">
    <cfRule type="expression" dxfId="321" priority="17">
      <formula>$C$140=TRUE</formula>
    </cfRule>
  </conditionalFormatting>
  <conditionalFormatting sqref="D140:O140">
    <cfRule type="expression" dxfId="320" priority="27">
      <formula>$C$140=TRUE</formula>
    </cfRule>
  </conditionalFormatting>
  <conditionalFormatting sqref="E19:E28">
    <cfRule type="expression" dxfId="319" priority="141">
      <formula>AND(ISBLANK(#REF!), $E$18=TRUE)</formula>
    </cfRule>
  </conditionalFormatting>
  <conditionalFormatting sqref="E19:E29">
    <cfRule type="expression" dxfId="318" priority="1">
      <formula>$E$18=TRUE</formula>
    </cfRule>
  </conditionalFormatting>
  <conditionalFormatting sqref="E34:E41">
    <cfRule type="expression" dxfId="317" priority="76">
      <formula>AND(ISBLANK(#REF!), $E$18=TRUE)</formula>
    </cfRule>
    <cfRule type="expression" dxfId="316" priority="75">
      <formula>$E$18=TRUE</formula>
    </cfRule>
  </conditionalFormatting>
  <conditionalFormatting sqref="E44">
    <cfRule type="expression" dxfId="315" priority="102">
      <formula>$E$43="other (please specify the legal form in the row below)"</formula>
    </cfRule>
  </conditionalFormatting>
  <conditionalFormatting sqref="E99">
    <cfRule type="expression" dxfId="314" priority="53">
      <formula>$D$81="YES"</formula>
    </cfRule>
  </conditionalFormatting>
  <conditionalFormatting sqref="E144:E146">
    <cfRule type="expression" dxfId="313" priority="11">
      <formula>$E144=template_label_ok</formula>
    </cfRule>
  </conditionalFormatting>
  <conditionalFormatting sqref="E150:G150">
    <cfRule type="expression" dxfId="312" priority="371">
      <formula>AND($C$140=TRUE,$O$140=TRUE)</formula>
    </cfRule>
  </conditionalFormatting>
  <conditionalFormatting sqref="E161:G161">
    <cfRule type="expression" dxfId="311" priority="44">
      <formula>$E$160=TRUE</formula>
    </cfRule>
  </conditionalFormatting>
  <conditionalFormatting sqref="E100:H100">
    <cfRule type="expression" dxfId="310" priority="52">
      <formula>$E$99=TRUE</formula>
    </cfRule>
  </conditionalFormatting>
  <conditionalFormatting sqref="F3:F5 F70:F94">
    <cfRule type="expression" dxfId="309" priority="146">
      <formula>$F3=template_label_ok</formula>
    </cfRule>
    <cfRule type="expression" dxfId="308" priority="147">
      <formula>$F3=template_label_missing_value</formula>
    </cfRule>
  </conditionalFormatting>
  <conditionalFormatting sqref="F6:F8">
    <cfRule type="expression" dxfId="307" priority="2">
      <formula>$F$6=template_label_error</formula>
    </cfRule>
    <cfRule type="expression" dxfId="306" priority="57">
      <formula>$F$6=template_label_value_inconsistency</formula>
    </cfRule>
    <cfRule type="expression" dxfId="305" priority="59">
      <formula>$F$6=template_label_ok</formula>
    </cfRule>
    <cfRule type="expression" dxfId="304" priority="60">
      <formula>$F$6=template_label_missing_value</formula>
    </cfRule>
  </conditionalFormatting>
  <conditionalFormatting sqref="F10">
    <cfRule type="expression" dxfId="303" priority="63">
      <formula>$F$10=template_label_ok</formula>
    </cfRule>
    <cfRule type="expression" dxfId="302" priority="56">
      <formula>$F$10=template_label_error</formula>
    </cfRule>
    <cfRule type="expression" dxfId="301" priority="61">
      <formula>$F$10=template_label_missing_value</formula>
    </cfRule>
    <cfRule type="expression" dxfId="300" priority="62">
      <formula>$F$10=template_label_value_inconsistency</formula>
    </cfRule>
  </conditionalFormatting>
  <conditionalFormatting sqref="F13:F14">
    <cfRule type="expression" dxfId="299" priority="64">
      <formula>$F13="MISSING VALUE"</formula>
    </cfRule>
    <cfRule type="expression" dxfId="298" priority="65">
      <formula>$F13="OK"</formula>
    </cfRule>
  </conditionalFormatting>
  <conditionalFormatting sqref="F18">
    <cfRule type="expression" dxfId="297" priority="88">
      <formula>$F$18=template_label_ok</formula>
    </cfRule>
  </conditionalFormatting>
  <conditionalFormatting sqref="F19:F29">
    <cfRule type="expression" dxfId="296" priority="85">
      <formula>$F19=template_label_missing_value</formula>
    </cfRule>
    <cfRule type="expression" dxfId="295" priority="7">
      <formula>$F19=template_label_value_inconsistency</formula>
    </cfRule>
    <cfRule type="expression" dxfId="294" priority="86">
      <formula>$F19=template_label_ok</formula>
    </cfRule>
  </conditionalFormatting>
  <conditionalFormatting sqref="F29">
    <cfRule type="expression" dxfId="293" priority="12">
      <formula>$F$29=template_label_invalid_url</formula>
    </cfRule>
  </conditionalFormatting>
  <conditionalFormatting sqref="F32">
    <cfRule type="expression" dxfId="292" priority="68">
      <formula>$F32=template_label_missing_value</formula>
    </cfRule>
    <cfRule type="expression" dxfId="291" priority="69">
      <formula>$F32=template_label_ok</formula>
    </cfRule>
  </conditionalFormatting>
  <conditionalFormatting sqref="F33">
    <cfRule type="expression" dxfId="290" priority="5">
      <formula>$F$33=template_label_value_inconsistency</formula>
    </cfRule>
    <cfRule type="expression" dxfId="289" priority="119">
      <formula>$F$33=template_label_ok</formula>
    </cfRule>
    <cfRule type="expression" dxfId="288" priority="118">
      <formula>$F$33=template_label_missing_value</formula>
    </cfRule>
  </conditionalFormatting>
  <conditionalFormatting sqref="F34:F41">
    <cfRule type="expression" dxfId="287" priority="6">
      <formula>$F34="VALUE INCONSISTENCY"</formula>
    </cfRule>
    <cfRule type="expression" dxfId="286" priority="73">
      <formula>$F34="MISSING VALUE"</formula>
    </cfRule>
    <cfRule type="expression" dxfId="285" priority="74">
      <formula>$F34="OK"</formula>
    </cfRule>
  </conditionalFormatting>
  <conditionalFormatting sqref="F42">
    <cfRule type="expression" dxfId="284" priority="151">
      <formula>$F$42=template_label_missing_value</formula>
    </cfRule>
    <cfRule type="expression" dxfId="283" priority="128">
      <formula>$F$42=template_label_ok</formula>
    </cfRule>
  </conditionalFormatting>
  <conditionalFormatting sqref="F43">
    <cfRule type="expression" dxfId="282" priority="126">
      <formula>$F$43=template_label_missing_value</formula>
    </cfRule>
    <cfRule type="expression" dxfId="281" priority="127">
      <formula>$F$43=template_label_ok</formula>
    </cfRule>
  </conditionalFormatting>
  <conditionalFormatting sqref="F44">
    <cfRule type="expression" dxfId="280" priority="89">
      <formula>$F$44=template_label_missing_value</formula>
    </cfRule>
    <cfRule type="expression" dxfId="279" priority="90">
      <formula>$F$44=template_label_ok</formula>
    </cfRule>
  </conditionalFormatting>
  <conditionalFormatting sqref="F45">
    <cfRule type="expression" dxfId="278" priority="4">
      <formula>$F$45=template_label_value_inconsistency</formula>
    </cfRule>
    <cfRule type="expression" dxfId="277" priority="149">
      <formula>$F$45=template_label_missing_value</formula>
    </cfRule>
    <cfRule type="expression" dxfId="276" priority="148">
      <formula>$F$45=template_label_ok</formula>
    </cfRule>
    <cfRule type="expression" dxfId="275" priority="41">
      <formula>$F$45=template_label_error</formula>
    </cfRule>
  </conditionalFormatting>
  <conditionalFormatting sqref="F46:F59">
    <cfRule type="expression" dxfId="274" priority="38">
      <formula>$F46=template_label_missing_value</formula>
    </cfRule>
    <cfRule type="expression" dxfId="273" priority="40">
      <formula>$F46=template_label_error</formula>
    </cfRule>
    <cfRule type="expression" dxfId="272" priority="39">
      <formula>$F46=template_label_ok</formula>
    </cfRule>
    <cfRule type="expression" dxfId="271" priority="3">
      <formula>$F46=template_label_value_inconsistency</formula>
    </cfRule>
  </conditionalFormatting>
  <conditionalFormatting sqref="F60">
    <cfRule type="expression" dxfId="270" priority="135">
      <formula>$F$60=template_label_ok</formula>
    </cfRule>
    <cfRule type="expression" dxfId="269" priority="136">
      <formula>$F$60=template_label_missing_value</formula>
    </cfRule>
  </conditionalFormatting>
  <conditionalFormatting sqref="F61:F65">
    <cfRule type="expression" dxfId="268" priority="133">
      <formula>$F61=template_label_ok</formula>
    </cfRule>
    <cfRule type="expression" dxfId="267" priority="134">
      <formula>$F61=template_label_missing_value</formula>
    </cfRule>
  </conditionalFormatting>
  <conditionalFormatting sqref="F93">
    <cfRule type="expression" dxfId="266" priority="270">
      <formula>#REF!="MISSING VALUE"</formula>
    </cfRule>
    <cfRule type="expression" dxfId="265" priority="271">
      <formula>#REF!="OK"</formula>
    </cfRule>
  </conditionalFormatting>
  <conditionalFormatting sqref="F94">
    <cfRule type="expression" dxfId="264" priority="272">
      <formula>$F105="MISSING VALUE"</formula>
    </cfRule>
    <cfRule type="expression" dxfId="263" priority="273">
      <formula>$F105="OK"</formula>
    </cfRule>
  </conditionalFormatting>
  <conditionalFormatting sqref="G43">
    <cfRule type="expression" dxfId="262" priority="132">
      <formula>$G$43="Please specify the legal form in the row below"</formula>
    </cfRule>
  </conditionalFormatting>
  <conditionalFormatting sqref="H109:H133">
    <cfRule type="expression" dxfId="261" priority="13">
      <formula>$H$108=FALSE</formula>
    </cfRule>
  </conditionalFormatting>
  <conditionalFormatting sqref="H149:H151">
    <cfRule type="expression" dxfId="260" priority="14">
      <formula>$H149=template_label_missing_value</formula>
    </cfRule>
    <cfRule type="expression" dxfId="259" priority="15">
      <formula>$H149=template_label_ok</formula>
    </cfRule>
  </conditionalFormatting>
  <conditionalFormatting sqref="H155:H157 H161">
    <cfRule type="expression" dxfId="258" priority="100">
      <formula>$H155=template_label_ok</formula>
    </cfRule>
    <cfRule type="expression" dxfId="257" priority="101">
      <formula>$H155=template_label_missing_value</formula>
    </cfRule>
  </conditionalFormatting>
  <conditionalFormatting sqref="I100">
    <cfRule type="expression" dxfId="256" priority="43">
      <formula>$I$100=template_label_missing_value</formula>
    </cfRule>
    <cfRule type="expression" dxfId="255" priority="84">
      <formula>$I$100=template_label_ok</formula>
    </cfRule>
  </conditionalFormatting>
  <conditionalFormatting sqref="I109:I133">
    <cfRule type="expression" dxfId="254" priority="92">
      <formula>$I109=template_label_missing_value</formula>
    </cfRule>
    <cfRule type="expression" dxfId="253" priority="91">
      <formula>$I109=template_label_ok</formula>
    </cfRule>
  </conditionalFormatting>
  <conditionalFormatting sqref="I165">
    <cfRule type="expression" dxfId="252" priority="83">
      <formula>$I$165=template_label_ok</formula>
    </cfRule>
  </conditionalFormatting>
  <conditionalFormatting sqref="P140">
    <cfRule type="expression" dxfId="251" priority="24">
      <formula>$P$140=template_label_ok</formula>
    </cfRule>
    <cfRule type="expression" dxfId="250" priority="23">
      <formula>$P$140=template_label_missing_value</formula>
    </cfRule>
  </conditionalFormatting>
  <dataValidations xWindow="549" yWindow="696" count="20">
    <dataValidation type="list" allowBlank="1" showInputMessage="1" showErrorMessage="1" sqref="E32" xr:uid="{A2DCDFDB-ADC4-436B-BD6C-4E84E82AE073}">
      <formula1>"Option A (Basic Module only), Option B (Basic Module and Comprehensive Module)"</formula1>
    </dataValidation>
    <dataValidation type="list" allowBlank="1" showInputMessage="1" showErrorMessage="1" sqref="E42" xr:uid="{4F13A5F9-E736-4E05-A233-B9B112EBE6A1}">
      <formula1>"Sustainability report prepared on an individual basis, Sustainability report prepared on a consolidated basis"</formula1>
    </dataValidation>
    <dataValidation type="list" allowBlank="1" showInputMessage="1" showErrorMessage="1" sqref="E64" xr:uid="{1DA6DC5E-36CE-4C4E-942D-7DCF7644718A}">
      <formula1>"Headcount, Full-time equivalent (FTE)"</formula1>
    </dataValidation>
    <dataValidation type="list" allowBlank="1" showInputMessage="1" showErrorMessage="1" sqref="G109:G133" xr:uid="{BE8F6A12-5C78-4D48-9F63-01FCA7AABD87}">
      <formula1>enum_ListCountriesName</formula1>
    </dataValidation>
    <dataValidation type="list" allowBlank="1" showInputMessage="1" showErrorMessage="1" sqref="E19:E28 E34:E41" xr:uid="{544D34CA-1630-49D5-B390-0FD7794F8530}">
      <formula1>enum_ListOmittedDisclosures</formula1>
    </dataValidation>
    <dataValidation type="date" operator="equal" allowBlank="1" showInputMessage="1" showErrorMessage="1" promptTitle="Warning" prompt="The date should be inserted in the following format: dd/mm/yyyy_x000a_Please be sure to use the &quot;/&quot; and not the &quot;.&quot;" sqref="E32" xr:uid="{4104C250-8FE3-463A-B01E-113FF4011C28}">
      <formula1>E32</formula1>
    </dataValidation>
    <dataValidation type="decimal" operator="equal" allowBlank="1" showInputMessage="1" showErrorMessage="1" sqref="D145 E60:E62" xr:uid="{546D8560-FA10-4E3C-8848-2A7A25B13150}">
      <formula1>D60</formula1>
    </dataValidation>
    <dataValidation type="custom" showInputMessage="1" showErrorMessage="1" sqref="E160 I147:O153 E99 I99 C152:H153 C147:H147 C140:O141 E18 H108" xr:uid="{9BD8F46B-C9AA-4C89-814F-A6D87FB15620}">
      <formula1>OR(C18=TRUE,C18=FALSE)</formula1>
    </dataValidation>
    <dataValidation allowBlank="1" showInputMessage="1" showErrorMessage="1" promptTitle="Warning" prompt="The coordinates should be entered in the format of &quot;latitude,langtitude&quot;. For example, the EFRAG office if Brussels would be reported as 50.840664,4.369322. Multiple locations are to be separated by whitespace." sqref="M109" xr:uid="{C35A9262-C360-4D5E-968C-53C84371D491}"/>
    <dataValidation type="list" allowBlank="1" showInputMessage="1" showErrorMessage="1" sqref="D5:E5" xr:uid="{CBA5C810-BD1B-4457-A1F9-2D364225E70C}">
      <formula1>enum_ListOfCurrencies</formula1>
    </dataValidation>
    <dataValidation type="list" allowBlank="1" showInputMessage="1" showErrorMessage="1" sqref="E63" xr:uid="{144F4C96-EADD-4F0D-816D-09334348F775}">
      <formula1>enum_employee_methodology</formula1>
    </dataValidation>
    <dataValidation type="list" allowBlank="1" showInputMessage="1" showErrorMessage="1" sqref="E33" xr:uid="{AC769C83-4CF3-4F4D-8304-CCD442331E8E}">
      <formula1>enum_ListOmittedDisclosuresWithNone</formula1>
    </dataValidation>
    <dataValidation type="custom" showInputMessage="1" showErrorMessage="1" sqref="K109:K133" xr:uid="{87B45667-2565-4DEE-8FB7-7B0AF6539C1C}">
      <formula1>LOWER(SUBSTITUTE(D109," ","+" )) &amp; "+" &amp; LOWER(SUBSTITUTE(E109," ","+" )) &amp; "+" &amp; LOWER(SUBSTITUTE(F109," ","+" )) &amp; "+" &amp; LOWER(SUBSTITUTE(G109," ","+" )) &amp; "+"</formula1>
    </dataValidation>
    <dataValidation type="list" allowBlank="1" showInputMessage="1" showErrorMessage="1" sqref="D4" xr:uid="{283D8083-3194-4536-B7E2-CB3D63926BC2}">
      <formula1>enum_ListIdentifier</formula1>
    </dataValidation>
    <dataValidation type="date" operator="greaterThan" showInputMessage="1" showErrorMessage="1" sqref="E14" xr:uid="{14FB1F45-F6E6-440A-8B10-700A785CFE1C}">
      <formula1>D10</formula1>
    </dataValidation>
    <dataValidation type="list" allowBlank="1" showInputMessage="1" showErrorMessage="1" sqref="D6:E6 D10:E10" xr:uid="{286A2A42-664A-4629-8EDF-6AD1A9EC4B90}">
      <formula1>enum_ListYear</formula1>
    </dataValidation>
    <dataValidation type="list" allowBlank="1" showInputMessage="1" showErrorMessage="1" sqref="D7:E7 D11:E11" xr:uid="{D33917E8-F0D3-4A11-925F-EB91222F88F7}">
      <formula1>enum_ListMonth</formula1>
    </dataValidation>
    <dataValidation type="list" operator="equal" showInputMessage="1" showErrorMessage="1" sqref="D8:E8" xr:uid="{64E572C6-C437-4D0B-9B15-945D6883829A}">
      <formula1>enum_ListDays</formula1>
    </dataValidation>
    <dataValidation type="list" showInputMessage="1" showErrorMessage="1" sqref="D12:E12" xr:uid="{539457F0-6934-48A5-A4D1-97B449C94467}">
      <formula1>enum_ListDays</formula1>
    </dataValidation>
    <dataValidation type="list" allowBlank="1" showInputMessage="1" showErrorMessage="1" sqref="E45:E59" xr:uid="{EDCACB96-AA7D-42B4-A79D-8DE45409D62B}">
      <formula1>enum_ListNACETechnicalName</formula1>
    </dataValidation>
  </dataValidations>
  <hyperlinks>
    <hyperlink ref="B43" r:id="rId1" location="id-160" display="https://xbrl.efrag.org/e-esrs/2024-12-17-efrag-vsme.xhtml - id-160" xr:uid="{6E35ED44-D9B7-4052-8FB7-A15755AA2F9A}"/>
    <hyperlink ref="B45" r:id="rId2" location="id-166" display="69 - 70" xr:uid="{FA270BAD-2BBA-4F19-A5BF-CB6660F0026F}"/>
    <hyperlink ref="B62" r:id="rId3" xr:uid="{D4D508FB-87F9-401E-995D-187EDEBAA1BE}"/>
    <hyperlink ref="A32" r:id="rId4" xr:uid="{C2B9CAC6-77B0-4EAC-8669-72761233B94E}"/>
    <hyperlink ref="A33" r:id="rId5" xr:uid="{550B4979-0FEB-4358-9C47-F633B3AD029B}"/>
    <hyperlink ref="A42" r:id="rId6" xr:uid="{F8EF2A00-D01F-454A-B219-4512593E4195}"/>
    <hyperlink ref="A45" r:id="rId7" location="id-55" xr:uid="{34C299B3-3BF1-4370-BBCB-6C0B88190DAA}"/>
    <hyperlink ref="A61" r:id="rId8" xr:uid="{720E8189-B604-4A6E-B087-2B36F1DBDA4C}"/>
    <hyperlink ref="A62" r:id="rId9" xr:uid="{D8858E63-1190-459F-86C5-E2BF02C1FB92}"/>
    <hyperlink ref="A65" r:id="rId10" xr:uid="{91A049C2-07F3-45F0-A7D7-EE0EA55C5BC7}"/>
    <hyperlink ref="C97" r:id="rId11" location="id-61" display="https://xbrl.efrag.org/e-esrs/2024-12-17-efrag-vsme.xhtml - id-61" xr:uid="{DFAA86FF-296C-45FD-AFBE-90C8E90045EB}"/>
    <hyperlink ref="C104" r:id="rId12" location="id-170" display="73 -77" xr:uid="{8ABC957E-1EBE-4A8D-863F-E7583DD2AC76}"/>
    <hyperlink ref="C17" r:id="rId13" location="id-36" display="https://xbrl.efrag.org/e-esrs/2024-12-17-efrag-vsme.xhtml - id-36" xr:uid="{19CB59E3-AADC-498C-AF52-20D4994CF242}"/>
    <hyperlink ref="C98" r:id="rId14" location="id-174" display="https://xbrl.efrag.org/e-esrs/2024-12-17-efrag-vsme.xhtml - id-174" xr:uid="{C5A15A7C-043F-4781-AFDF-10B6996439A7}"/>
    <hyperlink ref="C164" r:id="rId15" location="id-30" display="https://xbrl.efrag.org/e-esrs/2024-12-17-efrag-vsme.xhtml - id-30" xr:uid="{76D42933-A7B6-4201-BBAA-C4F0D44A8C21}"/>
    <hyperlink ref="A161" r:id="rId16" xr:uid="{E97D4368-4682-47AC-B32E-7B38F4BB397A}"/>
    <hyperlink ref="C103" r:id="rId17" location="id-60" xr:uid="{A4AF9C3B-B0B9-4070-AABC-C04C5FA2EE60}"/>
    <hyperlink ref="B157" r:id="rId18" display="https://xbrl.efrag.org/eng/interactive/vsme/vsme-guidance-annex-ii/2025-07-30-ec-rec/148" xr:uid="{5CB57F72-A4D3-4052-85C2-F2ACBE8A0625}"/>
    <hyperlink ref="A157" r:id="rId19" xr:uid="{BC12DD63-6EEA-4437-B6AB-A88936D421E8}"/>
    <hyperlink ref="A155" r:id="rId20" xr:uid="{20731D9F-75F2-48D9-BBE1-5734A2AEF5B8}"/>
    <hyperlink ref="C68:E68" r:id="rId21" display="24(d)" xr:uid="{FE76555F-2718-48D9-B35B-738DCDA0476C}"/>
    <hyperlink ref="A60" r:id="rId22" xr:uid="{785C6C18-5546-41D1-A9CA-4896BC8E24DF}"/>
    <hyperlink ref="A156" r:id="rId23" xr:uid="{671D2E36-4142-4CDA-8EBC-2663BBA303BE}"/>
    <hyperlink ref="C136" r:id="rId24" location="id-62" display="Paragraph 26" xr:uid="{1422AC39-BA25-4CD7-940C-725F3655BB72}"/>
    <hyperlink ref="C137" r:id="rId25" location="id-175" display="78-80" xr:uid="{29217F16-5FD6-42B1-908F-0D6E08E76BBB}"/>
    <hyperlink ref="A149:B149" r:id="rId26" location="id-110" display="https://xbrl.efrag.org/e-esrs/2024-12-17-efrag-vsme.xhtml - id-110" xr:uid="{4CDC38AF-269F-44A9-8E58-C12060FF2342}"/>
    <hyperlink ref="A151" r:id="rId27" display="https://xbrl.efrag.org/eng/interactive/vsme/vsme-standard-annex-i/2025-07-30-ec-rec/49" xr:uid="{D30D55EA-0736-4AA0-9B56-68C3D904FFDE}"/>
    <hyperlink ref="C143:D143" r:id="rId28" display="https://xbrl.efrag.org/eng/interactive/vsme/vsme-guidance-annex-ii/2025-07-30-ec-rec/15" xr:uid="{57C93BA6-29CE-468C-8E78-67130131E33C}"/>
    <hyperlink ref="A43" r:id="rId29" location="id-54" xr:uid="{4D61DA22-7170-4B6E-B717-DB0522673FDD}"/>
    <hyperlink ref="A43:A44" r:id="rId30" display="24(e)(i)" xr:uid="{72955AD9-15B0-4E93-A887-B2AE5AE34125}"/>
    <hyperlink ref="A45:A59" r:id="rId31" display="24(e)(ii)" xr:uid="{63CDEE42-35EF-4F82-9479-44131CA090AD}"/>
    <hyperlink ref="C97:H97" r:id="rId32" display="https://xbrl.efrag.org/eng/interactive/vsme/vsme-standard-annex-i/2025-07-30-ec-rec/25" xr:uid="{8EB8478F-6CBB-42E3-B5BB-21A4D0415C38}"/>
    <hyperlink ref="C103:H103" r:id="rId33" display="24(e)(vii)" xr:uid="{C6042EE5-CA3B-4737-B838-E6FF23A0BB7E}"/>
    <hyperlink ref="C136:O136" r:id="rId34" display="26-28" xr:uid="{21BF77BD-962D-4692-8F8C-8E643BF2A2FA}"/>
    <hyperlink ref="A149" r:id="rId35" display="https://xbrl.efrag.org/eng/interactive/vsme/vsme-standard-annex-i/2025-07-30-ec-rec/48" xr:uid="{E8705486-83DC-4F35-98E0-56DDE20F2EBF}"/>
    <hyperlink ref="C17:E17" r:id="rId36" display="https://xbrl.efrag.org/eng/interactive/vsme/vsme-standard-annex-i/2025-07-30-ec-rec/16" xr:uid="{3E9A84F0-7FE8-4AD8-84A8-8BBABEC967C0}"/>
    <hyperlink ref="B43:B44" r:id="rId37" display="https://xbrl.efrag.org/eng/interactive/vsme/vsme-guidance-annex-ii/2025-07-30-ec-rec/4" xr:uid="{821F1107-DFCF-4075-8811-6950EDDD41AC}"/>
    <hyperlink ref="B45:B59" r:id="rId38" display="5-6" xr:uid="{820D3D54-AE35-4C9F-9F05-D9C65601D449}"/>
    <hyperlink ref="C98:H98" r:id="rId39" display="https://xbrl.efrag.org/eng/interactive/vsme/vsme-guidance-annex-ii/2025-07-30-ec-rec/13" xr:uid="{34CC0771-7A7A-4256-8604-3C6AC612CB8F}"/>
    <hyperlink ref="C104:H104" r:id="rId40" display=" 9-12" xr:uid="{8CFBD353-B0BE-4B92-B429-4A0F2EEADF94}"/>
    <hyperlink ref="C137:O137" r:id="rId41" display="14-16" xr:uid="{CF2D0EF1-31E3-4957-95F3-15807A0951DF}"/>
    <hyperlink ref="B149" r:id="rId42" display="https://xbrl.efrag.org/eng/interactive/vsme/vsme-guidance-annex-ii/2025-07-30-ec-rec/149" xr:uid="{3F21BED7-A3D8-4283-A715-0AF86BBD95CA}"/>
    <hyperlink ref="C164:H164" r:id="rId43" display="https://xbrl.efrag.org/eng/interactive/vsme/vsme-standard-annex-i/2025-07-30-ec-rec/10" xr:uid="{819CBA6C-8654-4D09-AB1C-01A45B1548B4}"/>
    <hyperlink ref="A63" r:id="rId44" xr:uid="{1CA670AC-AE61-4EBA-A48F-DD1755DDE711}"/>
    <hyperlink ref="A64" r:id="rId45" xr:uid="{38AD638B-9309-43D3-9974-DDAD89DD3A81}"/>
    <hyperlink ref="B150" r:id="rId46" location="id-110" display="https://xbrl.efrag.org/e-esrs/2024-12-17-efrag-vsme.xhtml - id-110" xr:uid="{768AD984-0FDA-4B83-81D3-76F2D106DD02}"/>
    <hyperlink ref="B151" r:id="rId47" location="id-110" display="https://xbrl.efrag.org/e-esrs/2024-12-17-efrag-vsme.xhtml - id-110" xr:uid="{35D0CFFA-65BC-428F-A344-02A0AEC99B37}"/>
    <hyperlink ref="B63" r:id="rId48" xr:uid="{574F6B8E-0C3C-4751-88CB-1E069AEA907A}"/>
    <hyperlink ref="B64" r:id="rId49" xr:uid="{9B3A4583-A796-4E9D-B618-7D963786DEA3}"/>
    <hyperlink ref="B65" r:id="rId50" xr:uid="{6B6EB5AC-63E2-4174-8796-708D6B7A70BA}"/>
  </hyperlinks>
  <pageMargins left="0.7" right="0.7" top="0.75" bottom="0.75" header="0.3" footer="0.3"/>
  <pageSetup paperSize="9" orientation="portrait" horizontalDpi="4294967293" verticalDpi="4294967293" r:id="rId51"/>
  <drawing r:id="rId52"/>
  <extLst>
    <ext xmlns:x14="http://schemas.microsoft.com/office/spreadsheetml/2009/9/main" uri="{CCE6A557-97BC-4b89-ADB6-D9C93CAAB3DF}">
      <x14:dataValidations xmlns:xm="http://schemas.microsoft.com/office/excel/2006/main" xWindow="549" yWindow="696" count="2">
        <x14:dataValidation type="list" allowBlank="1" showInputMessage="1" showErrorMessage="1" xr:uid="{0AF44263-3F7A-40FE-9400-EEC7E8C4DF4E}">
          <x14:formula1>
            <xm:f>'Enumeration Lists'!$E$2:$E$257</xm:f>
          </x14:formula1>
          <xm:sqref>E65</xm:sqref>
        </x14:dataValidation>
        <x14:dataValidation type="list" allowBlank="1" showInputMessage="1" showErrorMessage="1" xr:uid="{386E27C7-13F7-4F0C-8DF1-6A82CC469E13}">
          <x14:formula1>
            <xm:f>'Enumeration Lists'!$L$2:$L$6</xm:f>
          </x14:formula1>
          <xm:sqref>E43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0D012-9FFA-46E0-AC1E-254B3B108EC6}">
  <sheetPr codeName="Sheet3"/>
  <dimension ref="A1:U244"/>
  <sheetViews>
    <sheetView showGridLines="0" zoomScaleNormal="100" workbookViewId="0"/>
  </sheetViews>
  <sheetFormatPr defaultColWidth="8.90625" defaultRowHeight="14.5" outlineLevelRow="1" x14ac:dyDescent="0.35"/>
  <cols>
    <col min="1" max="2" width="10" bestFit="1" customWidth="1"/>
    <col min="3" max="3" width="78.08984375" customWidth="1"/>
    <col min="4" max="4" width="17.36328125" customWidth="1"/>
    <col min="5" max="5" width="19.6328125" customWidth="1"/>
    <col min="6" max="6" width="22.6328125" customWidth="1"/>
    <col min="7" max="7" width="15.6328125" customWidth="1"/>
    <col min="8" max="8" width="5.36328125" customWidth="1"/>
    <col min="9" max="9" width="13.6328125" customWidth="1"/>
    <col min="10" max="10" width="26.54296875" customWidth="1"/>
    <col min="11" max="11" width="24.6328125" customWidth="1"/>
    <col min="12" max="12" width="27.36328125" customWidth="1"/>
    <col min="13" max="13" width="30.36328125" customWidth="1"/>
    <col min="14" max="14" width="29.6328125" customWidth="1"/>
  </cols>
  <sheetData>
    <row r="1" spans="1:13" ht="44" thickBot="1" x14ac:dyDescent="0.4">
      <c r="A1" s="258" t="str">
        <f>template_label_paragraph_reference</f>
        <v>Paragraph Reference</v>
      </c>
      <c r="B1" s="258" t="str">
        <f>template_label_paragraph_guidance_reference</f>
        <v>Paragraph Guidance Reference</v>
      </c>
    </row>
    <row r="2" spans="1:13" x14ac:dyDescent="0.35">
      <c r="C2" s="624" t="str">
        <f>template_label_b3_total_energy_consumption&amp;" "&amp;template_label_from&amp;" "&amp;template_starting_date_display&amp;" "&amp;template_label_to&amp;" "&amp;template_ending_date_display&amp;" "&amp;template_label_always_to_be_reported</f>
        <v>B3 - Total Energy Consumption (in MWh) from - to - [Always to be reported]</v>
      </c>
      <c r="D2" s="625"/>
      <c r="E2" s="625"/>
      <c r="F2" s="625"/>
      <c r="G2" s="625"/>
      <c r="H2" s="625"/>
      <c r="I2" s="625"/>
      <c r="J2" s="625"/>
      <c r="K2" s="626"/>
    </row>
    <row r="3" spans="1:13" x14ac:dyDescent="0.35">
      <c r="C3" s="516">
        <v>29</v>
      </c>
      <c r="D3" s="517"/>
      <c r="E3" s="517"/>
      <c r="F3" s="517"/>
      <c r="G3" s="517"/>
      <c r="H3" s="517"/>
      <c r="I3" s="517"/>
      <c r="J3" s="517"/>
      <c r="K3" s="518"/>
    </row>
    <row r="4" spans="1:13" x14ac:dyDescent="0.35">
      <c r="C4" s="701" t="s">
        <v>5647</v>
      </c>
      <c r="D4" s="702"/>
      <c r="E4" s="702"/>
      <c r="F4" s="702"/>
      <c r="G4" s="702"/>
      <c r="H4" s="702"/>
      <c r="I4" s="702"/>
      <c r="J4" s="702"/>
      <c r="K4" s="703"/>
    </row>
    <row r="5" spans="1:13" ht="15" thickBot="1" x14ac:dyDescent="0.4">
      <c r="C5" s="722" t="str">
        <f>template_label_total_energy_consumption</f>
        <v>Total Energy Consumption</v>
      </c>
      <c r="D5" s="723"/>
      <c r="E5" s="723"/>
      <c r="F5" s="724"/>
      <c r="G5" s="741"/>
      <c r="H5" s="742"/>
      <c r="I5" s="742"/>
      <c r="J5" s="742"/>
      <c r="K5" s="743"/>
      <c r="L5" s="16" t="str">
        <f>IF(AND(OR('General Information'!E32="Option A (Basic Module only)", 'General Information'!E32="Option B (Basic Module and Comprehensive Module)"), G5=""), template_label_missing_value, IF('General Information'!E32="", "", template_label_ok))</f>
        <v/>
      </c>
    </row>
    <row r="6" spans="1:13" ht="15" thickBot="1" x14ac:dyDescent="0.4"/>
    <row r="7" spans="1:13" x14ac:dyDescent="0.35">
      <c r="C7" s="624" t="str">
        <f>template_label_b3_breakdown_of_energy_consumption&amp;" "&amp;template_label_from&amp;" "&amp;template_starting_date_display&amp;" "&amp;template_label_to&amp;" "&amp;template_ending_date_display&amp;" "&amp;template_label_if_applicable</f>
        <v>B3 - Breakdown of energy consumption (in MWh) from - to - [If applicable]</v>
      </c>
      <c r="D7" s="625"/>
      <c r="E7" s="625"/>
      <c r="F7" s="625"/>
      <c r="G7" s="625"/>
      <c r="H7" s="625"/>
      <c r="I7" s="625"/>
      <c r="J7" s="625"/>
      <c r="K7" s="626"/>
    </row>
    <row r="8" spans="1:13" x14ac:dyDescent="0.35">
      <c r="C8" s="516">
        <v>29</v>
      </c>
      <c r="D8" s="517"/>
      <c r="E8" s="517"/>
      <c r="F8" s="517"/>
      <c r="G8" s="517"/>
      <c r="H8" s="517"/>
      <c r="I8" s="517"/>
      <c r="J8" s="517"/>
      <c r="K8" s="518"/>
    </row>
    <row r="9" spans="1:13" x14ac:dyDescent="0.35">
      <c r="C9" s="701" t="s">
        <v>5647</v>
      </c>
      <c r="D9" s="702"/>
      <c r="E9" s="702"/>
      <c r="F9" s="702"/>
      <c r="G9" s="702"/>
      <c r="H9" s="702"/>
      <c r="I9" s="702"/>
      <c r="J9" s="702"/>
      <c r="K9" s="703"/>
    </row>
    <row r="10" spans="1:13" x14ac:dyDescent="0.35">
      <c r="C10" s="680" t="str">
        <f>template_label_has_the_undertaking_obtained_the_necessary_information_to_provide_an_energy_consumption_breakdown</f>
        <v>Has the undertaking obtained the necessary information to provide an energy consumption breakdown?</v>
      </c>
      <c r="D10" s="681"/>
      <c r="E10" s="681"/>
      <c r="F10" s="681"/>
      <c r="G10" s="647" t="b">
        <v>0</v>
      </c>
      <c r="H10" s="647"/>
      <c r="I10" s="647"/>
      <c r="J10" s="647"/>
      <c r="K10" s="648"/>
    </row>
    <row r="11" spans="1:13" ht="38.75" customHeight="1" x14ac:dyDescent="0.35">
      <c r="C11" s="750"/>
      <c r="D11" s="751"/>
      <c r="E11" s="751"/>
      <c r="F11" s="751"/>
      <c r="G11" s="737" t="str">
        <f>template_label_renewable</f>
        <v>Renewable</v>
      </c>
      <c r="H11" s="738"/>
      <c r="I11" s="738"/>
      <c r="J11" s="103" t="str">
        <f>template_label_non_renewable</f>
        <v>Non-renewable</v>
      </c>
      <c r="K11" s="104" t="str">
        <f>template_label_total_renewable_and_nonrenewable</f>
        <v>Total renewable and non-renewable</v>
      </c>
      <c r="L11" s="16"/>
    </row>
    <row r="12" spans="1:13" x14ac:dyDescent="0.35">
      <c r="C12" s="725" t="str">
        <f>template_label_electricity</f>
        <v>Electricity (as reflected in utility billings)</v>
      </c>
      <c r="D12" s="726"/>
      <c r="E12" s="726"/>
      <c r="F12" s="727"/>
      <c r="G12" s="731"/>
      <c r="H12" s="732"/>
      <c r="I12" s="733"/>
      <c r="J12" s="261"/>
      <c r="K12" s="298" t="str">
        <f>IF(AND(G12="",J12=""),"-",SUM(G12:J12))</f>
        <v>-</v>
      </c>
      <c r="L12" s="658" t="str" cm="1">
        <f t="array" ref="L12">IF(G10=TRUE,
    IF(SUMPRODUCT(--(G12:J14&lt;&gt;"-"), --(G12:J14&lt;&gt;""))&gt;0,
        IF(SUM(G12:J14) &gt; TotalEnergyConsumption, template_label_value_inconsistency, template_label_ok),
        template_label_missing_value),
"")</f>
        <v/>
      </c>
    </row>
    <row r="13" spans="1:13" x14ac:dyDescent="0.35">
      <c r="C13" s="728" t="str">
        <f>template_label_selfgenerated_electricity</f>
        <v>Self-generated electricity</v>
      </c>
      <c r="D13" s="729"/>
      <c r="E13" s="729"/>
      <c r="F13" s="730"/>
      <c r="G13" s="731"/>
      <c r="H13" s="732"/>
      <c r="I13" s="733"/>
      <c r="J13" s="261"/>
      <c r="K13" s="298" t="str">
        <f>IF(AND(G13="",J13=""),"-",SUM(G13:J13))</f>
        <v>-</v>
      </c>
      <c r="L13" s="658"/>
    </row>
    <row r="14" spans="1:13" ht="15" thickBot="1" x14ac:dyDescent="0.4">
      <c r="C14" s="752" t="str">
        <f>template_label_fuels</f>
        <v>Fuels (see Fuel Converter on Fuels worksheet)</v>
      </c>
      <c r="D14" s="753"/>
      <c r="E14" s="753"/>
      <c r="F14" s="754"/>
      <c r="G14" s="734" t="str">
        <f>IF('Fuel Converter'!D23=TRUE, 'Fuel Converter'!A32, "-")</f>
        <v>-</v>
      </c>
      <c r="H14" s="735"/>
      <c r="I14" s="736"/>
      <c r="J14" s="262" t="str">
        <f>IF('Fuel Converter'!D23=TRUE, 'Fuel Converter'!B32, "-")</f>
        <v>-</v>
      </c>
      <c r="K14" s="299" t="str">
        <f>IF(AND(G14="-",J14="-"),"-",SUM(G14:J14))</f>
        <v>-</v>
      </c>
      <c r="L14" s="658"/>
      <c r="M14" t="str">
        <f>template_label_energy_consumption_warning</f>
        <v xml:space="preserve">ℹ️  Please note that the formula present in this cell may be overwritten in case the undertaking wants to directly provide the value. </v>
      </c>
    </row>
    <row r="15" spans="1:13" ht="15" thickBot="1" x14ac:dyDescent="0.4"/>
    <row r="16" spans="1:13" ht="28.5" customHeight="1" x14ac:dyDescent="0.35">
      <c r="C16" s="711" t="str">
        <f>template_label_b3_estimated_greenhouse_gas_emissions&amp; " "&amp;template_label_always_to_be_reported</f>
        <v>B3 - Estimated Greenhouse Gas Emissions considering the GHG Protocol Version 2004 (in tCO2e) [Always to be reported]</v>
      </c>
      <c r="D16" s="712"/>
      <c r="E16" s="712"/>
      <c r="F16" s="713"/>
      <c r="G16" s="719" t="str">
        <f>template_label_c3_ghg_reduction_targets&amp;" "&amp;template_label_if_applicable</f>
        <v>C3 - GHG reduction targets (in tC02e) [If applicable]</v>
      </c>
      <c r="H16" s="720"/>
      <c r="I16" s="720"/>
      <c r="J16" s="720"/>
      <c r="K16" s="721"/>
    </row>
    <row r="17" spans="1:21" x14ac:dyDescent="0.35">
      <c r="C17" s="714">
        <v>30</v>
      </c>
      <c r="D17" s="715"/>
      <c r="E17" s="715"/>
      <c r="F17" s="716"/>
      <c r="G17" s="714" t="s">
        <v>3745</v>
      </c>
      <c r="H17" s="715"/>
      <c r="I17" s="715"/>
      <c r="J17" s="468" t="s">
        <v>3746</v>
      </c>
      <c r="K17" s="469" t="s">
        <v>3747</v>
      </c>
    </row>
    <row r="18" spans="1:21" ht="15" thickBot="1" x14ac:dyDescent="0.4">
      <c r="C18" s="253" t="s">
        <v>1</v>
      </c>
      <c r="D18" s="576" t="s">
        <v>5648</v>
      </c>
      <c r="E18" s="576"/>
      <c r="F18" s="662"/>
      <c r="G18" s="739" t="s">
        <v>5649</v>
      </c>
      <c r="H18" s="740"/>
      <c r="I18" s="740"/>
      <c r="J18" s="462" t="s">
        <v>5649</v>
      </c>
      <c r="K18" s="471" t="s">
        <v>5649</v>
      </c>
    </row>
    <row r="19" spans="1:21" ht="30" customHeight="1" x14ac:dyDescent="0.35">
      <c r="C19" s="755"/>
      <c r="D19" s="756"/>
      <c r="E19" s="756"/>
      <c r="F19" s="757"/>
      <c r="G19" s="679" t="str">
        <f>template_label_has_the_undertaking_has_established_ghg_emission_reduction_targets</f>
        <v>Has  the undertaking has established GHG emission reduction targets?</v>
      </c>
      <c r="H19" s="679"/>
      <c r="I19" s="679"/>
      <c r="J19" s="175" t="b">
        <v>0</v>
      </c>
      <c r="K19" s="106"/>
    </row>
    <row r="20" spans="1:21" ht="29" x14ac:dyDescent="0.35">
      <c r="C20" s="107"/>
      <c r="D20" s="761" t="str">
        <f>template_label_current_reporting_period</f>
        <v>Current Reporting Period</v>
      </c>
      <c r="E20" s="761"/>
      <c r="F20" s="762"/>
      <c r="G20" s="833" t="str">
        <f>template_label_base_year</f>
        <v>Base Year</v>
      </c>
      <c r="H20" s="761"/>
      <c r="I20" s="761"/>
      <c r="J20" s="6" t="str">
        <f>template_label_target_year</f>
        <v>Target Year</v>
      </c>
      <c r="K20" s="53" t="str">
        <f>template_label_percentage_reduction_from_base_year</f>
        <v>Percentage reduction from base year</v>
      </c>
    </row>
    <row r="21" spans="1:21" x14ac:dyDescent="0.35">
      <c r="A21" s="655" t="str">
        <f>template_label_GHG_calculator</f>
        <v>ℹ️ Check EFRAG website for a non-exhaustive list of GHG calculators.</v>
      </c>
      <c r="B21" s="656"/>
      <c r="C21" s="55" t="str">
        <f>template_label_year_date</f>
        <v>Year (date)</v>
      </c>
      <c r="D21" s="763" t="str">
        <f>IF('General Information'!$D$9="", "-", 'General Information'!$D$9) &amp; "  -  " &amp; IF('General Information'!$D$13="", "-", 'General Information'!$D$13)</f>
        <v>-  -  -</v>
      </c>
      <c r="E21" s="763"/>
      <c r="F21" s="764"/>
      <c r="G21" s="849"/>
      <c r="H21" s="850"/>
      <c r="I21" s="850"/>
      <c r="J21" s="145"/>
      <c r="K21" s="109"/>
      <c r="L21" s="16" t="str">
        <f>IF(AND(J19=TRUE, G21&lt;&gt;"", J21&lt;&gt;""), template_label_ok,
IF(AND(J19=TRUE, G21="", J21=""), template_label_missing_value,
IF(AND(J19=FALSE, G21="", J21=""), "",
IF(AND(J19=TRUE, OR(G21="", J21="")), template_label_missing_value, ""))))</f>
        <v/>
      </c>
    </row>
    <row r="22" spans="1:21" x14ac:dyDescent="0.35">
      <c r="A22" s="655"/>
      <c r="B22" s="656"/>
      <c r="C22" s="4" t="str">
        <f>template_label_gross_scope_1_ghg_emissions</f>
        <v>Gross Scope 1 GHG Emissions</v>
      </c>
      <c r="D22" s="717"/>
      <c r="E22" s="717"/>
      <c r="F22" s="718"/>
      <c r="G22" s="733"/>
      <c r="H22" s="851"/>
      <c r="I22" s="851"/>
      <c r="J22" s="261"/>
      <c r="K22" s="110" t="str">
        <f>IF(AND(G22="", J22=""), "-", IFERROR(-(1 - (J22 / G22)), "-"))</f>
        <v>-</v>
      </c>
      <c r="L22" s="16" t="str">
        <f>IF(AND(OR(BasisForPreparation="Option A (Basic Module Only)", BasisForPreparation="Option B (Basic Module and Comprehensive Module)"), D22="", J19=FALSE), template_label_missing_value,
IF(AND(OR(BasisForPreparation="Option A (Basic Module Only)", BasisForPreparation="Option B (Basic Module and Comprehensive Module)"), D22&lt;&gt;"", G22&lt;&gt;"", J22&lt;&gt;"", J19=TRUE), template_label_ok,
IF(AND(BasisForPreparation="Option A (Basic Module Only)", D22&lt;&gt;"", OR(G22="", J22=""), J19=FALSE), template_label_ok,
IF(AND(BasisForPreparation="Option A (Basic Module Only)", D22&lt;&gt;"", OR(G22="", J22=""), J19=TRUE), template_label_missing_value,
IF(AND(BasisForPreparation="Option B (Basic Module and Comprehensive Module)", D22&lt;&gt;"", OR(G22="", J22=""), J19=TRUE), template_label_missing_value,
IF(AND(BasisForPreparation="Option B (Basic Module and Comprehensive Module)", D22="", OR(G22="", J22=""), J19=TRUE), template_label_missing_value,
IF(AND(BasisForPreparation="Option A (Basic Module Only)", D22&lt;&gt;"", G22="", J22="", J19=FALSE), template_label_ok,
IF(AND(BasisForPreparation="Option B (Basic Module and Comprehensive Module)", D22&lt;&gt;"", G22="", J22="", J19=FALSE), template_label_ok,
IF(OR(BasisForPreparation="", D22="", G22="", J22="", J19=FALSE), "", template_label_missing_value)))))))))</f>
        <v/>
      </c>
    </row>
    <row r="23" spans="1:21" x14ac:dyDescent="0.35">
      <c r="A23" s="655"/>
      <c r="B23" s="656"/>
      <c r="C23" s="4" t="str">
        <f>template_label_gross_scope_2_location_based_ghg_emissions</f>
        <v>Gross Scope 2 location-based GHG Emissions</v>
      </c>
      <c r="D23" s="698"/>
      <c r="E23" s="699"/>
      <c r="F23" s="700"/>
      <c r="G23" s="733"/>
      <c r="H23" s="851"/>
      <c r="I23" s="851"/>
      <c r="J23" s="261"/>
      <c r="K23" s="110" t="str">
        <f t="shared" ref="K23:K26" si="0">IF(AND(G23="", J23=""), "-", IFERROR(-(1 - (J23 / G23)), "-"))</f>
        <v>-</v>
      </c>
      <c r="L23" s="16" t="str">
        <f>IF(AND(OR(BasisForPreparation="Option A (Basic Module Only)", BasisForPreparation="Option B (Basic Module and Comprehensive Module)"), D23="", J19=FALSE), template_label_missing_value,
IF(AND(OR(BasisForPreparation="Option A (Basic Module Only)", BasisForPreparation="Option B (Basic Module and Comprehensive Module)"), D23&lt;&gt;"", G23&lt;&gt;"", J23&lt;&gt;"", J19=TRUE), template_label_ok,
IF(AND(BasisForPreparation="Option A (Basic Module Only)", D23&lt;&gt;"", OR(G23="", J23=""), J19=FALSE), template_label_ok,
IF(AND(BasisForPreparation="Option A (Basic Module Only)", D23&lt;&gt;"", OR(G23="", J23=""), J19=TRUE), template_label_missing_value,
IF(AND(BasisForPreparation="Option B (Basic Module and Comprehensive Module)", D23&lt;&gt;"", OR(G23="", J23=""), J19=TRUE), template_label_missing_value,
IF(AND(BasisForPreparation="Option B (Basic Module and Comprehensive Module)", D23="", OR(G23="", J23=""), J19=TRUE), template_label_missing_value,
IF(AND(BasisForPreparation="Option A (Basic Module Only)", D23&lt;&gt;"", G23="", J23="", J19=FALSE), template_label_ok,
IF(AND(BasisForPreparation="Option B (Basic Module and Comprehensive Module)", D23&lt;&gt;"", G23="", J23="", J19=FALSE), template_label_ok,
IF(OR(BasisForPreparation="", D23="", G23="", J23="", J19=FALSE), "", template_label_missing_value)))))))))</f>
        <v/>
      </c>
    </row>
    <row r="24" spans="1:21" x14ac:dyDescent="0.35">
      <c r="A24" s="655"/>
      <c r="B24" s="656"/>
      <c r="C24" s="4" t="str">
        <f>template_label_gross_scope_2_market_based_ghg_emissions &amp; " - " &amp; template_label_may_not_headline</f>
        <v>Gross scope 2 market-based GHG Emissions - May (optional)</v>
      </c>
      <c r="D24" s="717"/>
      <c r="E24" s="717"/>
      <c r="F24" s="718"/>
      <c r="G24" s="733"/>
      <c r="H24" s="851"/>
      <c r="I24" s="851"/>
      <c r="J24" s="261"/>
      <c r="K24" s="110" t="str">
        <f t="shared" si="0"/>
        <v>-</v>
      </c>
      <c r="L24" s="16" t="str">
        <f>IF(D24&lt;&gt;"",
    IF(AND(G24="", J24=""), template_label_ok,
       IF(AND(G24&lt;&gt;"", J24=""), template_label_missing_value, template_label_ok)
    ),
"")</f>
        <v/>
      </c>
    </row>
    <row r="25" spans="1:21" x14ac:dyDescent="0.35">
      <c r="A25" s="655"/>
      <c r="B25" s="656"/>
      <c r="C25" s="13" t="str">
        <f>template_label_total_scope_1_and_scope_2_ghg_emissions_location_based</f>
        <v>Total Scope 1 and Scope 2 GHG Emissions (location-based)</v>
      </c>
      <c r="D25" s="836" t="str">
        <f>IF(AND(D22="",D23=""),"-",SUM(D22,D23))</f>
        <v>-</v>
      </c>
      <c r="E25" s="836"/>
      <c r="F25" s="837"/>
      <c r="G25" s="881" t="str">
        <f>IF(AND(G22="",G23=""),"-",SUM(G22,G23))</f>
        <v>-</v>
      </c>
      <c r="H25" s="836"/>
      <c r="I25" s="836"/>
      <c r="J25" s="264" t="str">
        <f>IF(AND(J22="",J23=""),"-",SUM(J22,J23))</f>
        <v>-</v>
      </c>
      <c r="K25" s="110" t="str">
        <f t="shared" si="0"/>
        <v>-</v>
      </c>
    </row>
    <row r="26" spans="1:21" ht="15" thickBot="1" x14ac:dyDescent="0.4">
      <c r="A26" s="655"/>
      <c r="B26" s="656"/>
      <c r="C26" s="5" t="str">
        <f>template_label_total_scope_1_and_scope_2_ghg_emissions_market_based &amp; " - " &amp; template_label_may_not_headline</f>
        <v>Total Scope 1 and Scope 2 GHG emissions  (market-based) - May (optional)</v>
      </c>
      <c r="D26" s="854" t="str">
        <f>IF(OR(D22="",D24=""),"-",SUM(D22,D24))</f>
        <v>-</v>
      </c>
      <c r="E26" s="855"/>
      <c r="F26" s="856"/>
      <c r="G26" s="855" t="str">
        <f>IF(OR(G22="",G24=""),"-",SUM(G22,G24))</f>
        <v>-</v>
      </c>
      <c r="H26" s="855"/>
      <c r="I26" s="858"/>
      <c r="J26" s="265" t="str">
        <f>IF(OR(J22="",J24=""),"-",SUM(J22,J24))</f>
        <v>-</v>
      </c>
      <c r="K26" s="110" t="str">
        <f t="shared" si="0"/>
        <v>-</v>
      </c>
    </row>
    <row r="27" spans="1:21" x14ac:dyDescent="0.35">
      <c r="C27" s="866" t="s">
        <v>3748</v>
      </c>
      <c r="D27" s="853"/>
      <c r="E27" s="853"/>
      <c r="F27" s="853"/>
      <c r="G27" s="853">
        <v>54</v>
      </c>
      <c r="H27" s="853"/>
      <c r="I27" s="853"/>
      <c r="J27" s="853"/>
      <c r="K27" s="111"/>
    </row>
    <row r="28" spans="1:21" ht="15" thickBot="1" x14ac:dyDescent="0.4">
      <c r="C28" s="253" t="s">
        <v>1</v>
      </c>
      <c r="D28" s="576" t="s">
        <v>5650</v>
      </c>
      <c r="E28" s="576"/>
      <c r="F28" s="576"/>
      <c r="G28" s="818" t="s">
        <v>1</v>
      </c>
      <c r="H28" s="818"/>
      <c r="I28" s="818"/>
      <c r="J28" s="254" t="s">
        <v>1</v>
      </c>
      <c r="K28" s="112"/>
    </row>
    <row r="29" spans="1:21" ht="22.25" customHeight="1" x14ac:dyDescent="0.35">
      <c r="C29" s="758" t="str">
        <f>template_label_is_the_undertaking_disclosing_entity_specific_information_on_scope_3_emissions</f>
        <v>Is the undertaking disclosing entity-specific information on Scope 3 emissions (in tCO2e)?</v>
      </c>
      <c r="D29" s="759"/>
      <c r="E29" s="759"/>
      <c r="F29" s="760"/>
      <c r="G29" s="862" t="b">
        <v>0</v>
      </c>
      <c r="H29" s="863"/>
      <c r="I29" s="863"/>
      <c r="J29" s="863"/>
      <c r="K29" s="864"/>
    </row>
    <row r="30" spans="1:21" ht="14.5" customHeight="1" x14ac:dyDescent="0.35">
      <c r="C30" s="102" t="str">
        <f>template_label_1_purchased_goods_and_services</f>
        <v>1. Purchased Goods and Services</v>
      </c>
      <c r="D30" s="688"/>
      <c r="E30" s="689"/>
      <c r="F30" s="697"/>
      <c r="G30" s="674"/>
      <c r="H30" s="675"/>
      <c r="I30" s="675"/>
      <c r="J30" s="266"/>
      <c r="K30" s="293" t="str">
        <f>IF(OR(G30="", J30=""), "-", IFERROR(-(1 - (J30 / G30)), "-"))</f>
        <v>-</v>
      </c>
      <c r="L30" s="676" t="str" cm="1">
        <f t="array" ref="L30">IF(
   OR(
      SUMPRODUCT((G30:G44&lt;&gt;"")*(J30:J44="")) &gt; 0,
      SUMPRODUCT((J30:J44&lt;&gt;"")*(G30:G44="")) &gt; 0
   ),
   template_label_missing_value,
   IF(
      AND(G29=TRUE, COUNTA(D30:F44)=0),
      template_label_missing_value,
      IF(G29=FALSE, "", template_label_ok)
   )
)</f>
        <v/>
      </c>
      <c r="M30" s="657" t="str">
        <f>template_label_scope_3_categories_warning</f>
        <v>ℹ️  Scope 3 categories according to the GHG protocol might help to calculate the total Scope 3 GHG emissions. In case the undertaking wants to, it can directly provide the Total Scope 3 GHG emissions in the respective cell.</v>
      </c>
      <c r="N30" s="657"/>
      <c r="O30" s="657"/>
      <c r="P30" s="657"/>
      <c r="Q30" s="657"/>
      <c r="R30" s="657"/>
      <c r="S30" s="657"/>
      <c r="T30" s="657"/>
      <c r="U30" s="657"/>
    </row>
    <row r="31" spans="1:21" x14ac:dyDescent="0.35">
      <c r="C31" s="102" t="str">
        <f>template_label_2_capital_goods</f>
        <v>2. Capital Goods</v>
      </c>
      <c r="D31" s="688"/>
      <c r="E31" s="689"/>
      <c r="F31" s="697"/>
      <c r="G31" s="674"/>
      <c r="H31" s="675"/>
      <c r="I31" s="675"/>
      <c r="J31" s="266"/>
      <c r="K31" s="293" t="str">
        <f t="shared" ref="K31:K44" si="1">IF(OR(G31="", J31=""), "-", IFERROR(-(1 - (J31 / G31)), "-"))</f>
        <v>-</v>
      </c>
      <c r="L31" s="676"/>
      <c r="M31" s="657"/>
      <c r="N31" s="657"/>
      <c r="O31" s="657"/>
      <c r="P31" s="657"/>
      <c r="Q31" s="657"/>
      <c r="R31" s="657"/>
      <c r="S31" s="657"/>
      <c r="T31" s="657"/>
      <c r="U31" s="657"/>
    </row>
    <row r="32" spans="1:21" x14ac:dyDescent="0.35">
      <c r="C32" s="102" t="str">
        <f>template_label_3_fuel__and_energy_related_activities</f>
        <v>3. Fuel- and Energy-Related Activities (Not Included in Scope 1 or Scope 2)</v>
      </c>
      <c r="D32" s="688"/>
      <c r="E32" s="689"/>
      <c r="F32" s="697"/>
      <c r="G32" s="674"/>
      <c r="H32" s="675"/>
      <c r="I32" s="675"/>
      <c r="J32" s="266"/>
      <c r="K32" s="293" t="str">
        <f t="shared" si="1"/>
        <v>-</v>
      </c>
      <c r="L32" s="676"/>
      <c r="M32" s="657"/>
      <c r="N32" s="657"/>
      <c r="O32" s="657"/>
      <c r="P32" s="657"/>
      <c r="Q32" s="657"/>
      <c r="R32" s="657"/>
      <c r="S32" s="657"/>
      <c r="T32" s="657"/>
      <c r="U32" s="657"/>
    </row>
    <row r="33" spans="3:21" x14ac:dyDescent="0.35">
      <c r="C33" s="102" t="str">
        <f>template_label_4_upstream_transportation_and_distribution</f>
        <v>4. Upstream Transportation and Distribution</v>
      </c>
      <c r="D33" s="688"/>
      <c r="E33" s="689"/>
      <c r="F33" s="697"/>
      <c r="G33" s="674"/>
      <c r="H33" s="675"/>
      <c r="I33" s="675"/>
      <c r="J33" s="266"/>
      <c r="K33" s="293" t="str">
        <f t="shared" si="1"/>
        <v>-</v>
      </c>
      <c r="L33" s="676"/>
      <c r="M33" s="657"/>
      <c r="N33" s="657"/>
      <c r="O33" s="657"/>
      <c r="P33" s="657"/>
      <c r="Q33" s="657"/>
      <c r="R33" s="657"/>
      <c r="S33" s="657"/>
      <c r="T33" s="657"/>
      <c r="U33" s="657"/>
    </row>
    <row r="34" spans="3:21" x14ac:dyDescent="0.35">
      <c r="C34" s="102" t="str">
        <f>template_label_5_waste_generated_in_operations</f>
        <v>5. Waste Generated in Operations</v>
      </c>
      <c r="D34" s="688"/>
      <c r="E34" s="689"/>
      <c r="F34" s="697"/>
      <c r="G34" s="674"/>
      <c r="H34" s="675"/>
      <c r="I34" s="675"/>
      <c r="J34" s="266"/>
      <c r="K34" s="293" t="str">
        <f t="shared" si="1"/>
        <v>-</v>
      </c>
      <c r="L34" s="676"/>
      <c r="M34" s="657"/>
      <c r="N34" s="657"/>
      <c r="O34" s="657"/>
      <c r="P34" s="657"/>
      <c r="Q34" s="657"/>
      <c r="R34" s="657"/>
      <c r="S34" s="657"/>
      <c r="T34" s="657"/>
      <c r="U34" s="657"/>
    </row>
    <row r="35" spans="3:21" x14ac:dyDescent="0.35">
      <c r="C35" s="102" t="str">
        <f>template_label_6_business_travel</f>
        <v>6. Business Travel</v>
      </c>
      <c r="D35" s="688"/>
      <c r="E35" s="689"/>
      <c r="F35" s="697"/>
      <c r="G35" s="674"/>
      <c r="H35" s="675"/>
      <c r="I35" s="675"/>
      <c r="J35" s="266"/>
      <c r="K35" s="293" t="str">
        <f t="shared" si="1"/>
        <v>-</v>
      </c>
      <c r="L35" s="676"/>
      <c r="M35" s="657"/>
      <c r="N35" s="657"/>
      <c r="O35" s="657"/>
      <c r="P35" s="657"/>
      <c r="Q35" s="657"/>
      <c r="R35" s="657"/>
      <c r="S35" s="657"/>
      <c r="T35" s="657"/>
      <c r="U35" s="657"/>
    </row>
    <row r="36" spans="3:21" x14ac:dyDescent="0.35">
      <c r="C36" s="102" t="str">
        <f>template_label_7_employee_commuting</f>
        <v>7. Employee Commuting</v>
      </c>
      <c r="D36" s="688"/>
      <c r="E36" s="689"/>
      <c r="F36" s="697"/>
      <c r="G36" s="674"/>
      <c r="H36" s="675"/>
      <c r="I36" s="675"/>
      <c r="J36" s="266"/>
      <c r="K36" s="293" t="str">
        <f t="shared" si="1"/>
        <v>-</v>
      </c>
      <c r="L36" s="676"/>
      <c r="M36" s="657"/>
      <c r="N36" s="657"/>
      <c r="O36" s="657"/>
      <c r="P36" s="657"/>
      <c r="Q36" s="657"/>
      <c r="R36" s="657"/>
      <c r="S36" s="657"/>
      <c r="T36" s="657"/>
      <c r="U36" s="657"/>
    </row>
    <row r="37" spans="3:21" x14ac:dyDescent="0.35">
      <c r="C37" s="102" t="str">
        <f>template_label_8_upstream_leased_assets</f>
        <v>8. Upstream Leased Assets</v>
      </c>
      <c r="D37" s="688"/>
      <c r="E37" s="689"/>
      <c r="F37" s="697"/>
      <c r="G37" s="674"/>
      <c r="H37" s="675"/>
      <c r="I37" s="675"/>
      <c r="J37" s="266"/>
      <c r="K37" s="293" t="str">
        <f t="shared" si="1"/>
        <v>-</v>
      </c>
      <c r="L37" s="676"/>
      <c r="M37" s="657"/>
      <c r="N37" s="657"/>
      <c r="O37" s="657"/>
      <c r="P37" s="657"/>
      <c r="Q37" s="657"/>
      <c r="R37" s="657"/>
      <c r="S37" s="657"/>
      <c r="T37" s="657"/>
      <c r="U37" s="657"/>
    </row>
    <row r="38" spans="3:21" x14ac:dyDescent="0.35">
      <c r="C38" s="102" t="str">
        <f>template_label_9_downstream_transportation_and_distribution</f>
        <v>9. Downstream Transportation and Distribution</v>
      </c>
      <c r="D38" s="688"/>
      <c r="E38" s="689"/>
      <c r="F38" s="697"/>
      <c r="G38" s="674"/>
      <c r="H38" s="675"/>
      <c r="I38" s="675"/>
      <c r="J38" s="266"/>
      <c r="K38" s="293" t="str">
        <f t="shared" si="1"/>
        <v>-</v>
      </c>
      <c r="L38" s="676"/>
      <c r="M38" s="657"/>
      <c r="N38" s="657"/>
      <c r="O38" s="657"/>
      <c r="P38" s="657"/>
      <c r="Q38" s="657"/>
      <c r="R38" s="657"/>
      <c r="S38" s="657"/>
      <c r="T38" s="657"/>
      <c r="U38" s="657"/>
    </row>
    <row r="39" spans="3:21" x14ac:dyDescent="0.35">
      <c r="C39" s="102" t="str">
        <f>template_label_10_processing_of_sold_products</f>
        <v>10. Processing of Sold Products</v>
      </c>
      <c r="D39" s="688"/>
      <c r="E39" s="689"/>
      <c r="F39" s="697"/>
      <c r="G39" s="674"/>
      <c r="H39" s="675"/>
      <c r="I39" s="675"/>
      <c r="J39" s="266"/>
      <c r="K39" s="293" t="str">
        <f t="shared" si="1"/>
        <v>-</v>
      </c>
      <c r="L39" s="676"/>
      <c r="M39" s="657"/>
      <c r="N39" s="657"/>
      <c r="O39" s="657"/>
      <c r="P39" s="657"/>
      <c r="Q39" s="657"/>
      <c r="R39" s="657"/>
      <c r="S39" s="657"/>
      <c r="T39" s="657"/>
      <c r="U39" s="657"/>
    </row>
    <row r="40" spans="3:21" x14ac:dyDescent="0.35">
      <c r="C40" s="102" t="str">
        <f>template_label_11_use_of_sold_products</f>
        <v>11. Use of Sold Products</v>
      </c>
      <c r="D40" s="688"/>
      <c r="E40" s="689"/>
      <c r="F40" s="697"/>
      <c r="G40" s="674"/>
      <c r="H40" s="675"/>
      <c r="I40" s="675"/>
      <c r="J40" s="266"/>
      <c r="K40" s="293" t="str">
        <f t="shared" si="1"/>
        <v>-</v>
      </c>
      <c r="L40" s="676"/>
      <c r="M40" s="657"/>
      <c r="N40" s="657"/>
      <c r="O40" s="657"/>
      <c r="P40" s="657"/>
      <c r="Q40" s="657"/>
      <c r="R40" s="657"/>
      <c r="S40" s="657"/>
      <c r="T40" s="657"/>
      <c r="U40" s="657"/>
    </row>
    <row r="41" spans="3:21" x14ac:dyDescent="0.35">
      <c r="C41" s="102" t="str">
        <f>template_label_12_end_of_life_treatment_of_sold_products</f>
        <v>12. End-of-Life Treatment of Sold Products</v>
      </c>
      <c r="D41" s="688"/>
      <c r="E41" s="689"/>
      <c r="F41" s="697"/>
      <c r="G41" s="674"/>
      <c r="H41" s="675"/>
      <c r="I41" s="675"/>
      <c r="J41" s="266"/>
      <c r="K41" s="293" t="str">
        <f t="shared" si="1"/>
        <v>-</v>
      </c>
      <c r="L41" s="676"/>
      <c r="M41" s="657"/>
      <c r="N41" s="657"/>
      <c r="O41" s="657"/>
      <c r="P41" s="657"/>
      <c r="Q41" s="657"/>
      <c r="R41" s="657"/>
      <c r="S41" s="657"/>
      <c r="T41" s="657"/>
      <c r="U41" s="657"/>
    </row>
    <row r="42" spans="3:21" x14ac:dyDescent="0.35">
      <c r="C42" s="102" t="str">
        <f>template_label_13_downstream_leased_assets</f>
        <v>13. Downstream Leased Assets</v>
      </c>
      <c r="D42" s="688"/>
      <c r="E42" s="689"/>
      <c r="F42" s="697"/>
      <c r="G42" s="674"/>
      <c r="H42" s="675"/>
      <c r="I42" s="675"/>
      <c r="J42" s="266"/>
      <c r="K42" s="293" t="str">
        <f t="shared" si="1"/>
        <v>-</v>
      </c>
      <c r="L42" s="676"/>
      <c r="M42" s="657"/>
      <c r="N42" s="657"/>
      <c r="O42" s="657"/>
      <c r="P42" s="657"/>
      <c r="Q42" s="657"/>
      <c r="R42" s="657"/>
      <c r="S42" s="657"/>
      <c r="T42" s="657"/>
      <c r="U42" s="657"/>
    </row>
    <row r="43" spans="3:21" x14ac:dyDescent="0.35">
      <c r="C43" s="102" t="str">
        <f>template_label_14_franchises</f>
        <v>14. Franchises</v>
      </c>
      <c r="D43" s="688"/>
      <c r="E43" s="689"/>
      <c r="F43" s="697"/>
      <c r="G43" s="674"/>
      <c r="H43" s="675"/>
      <c r="I43" s="675"/>
      <c r="J43" s="266"/>
      <c r="K43" s="293" t="str">
        <f t="shared" si="1"/>
        <v>-</v>
      </c>
      <c r="L43" s="676"/>
      <c r="M43" s="657"/>
      <c r="N43" s="657"/>
      <c r="O43" s="657"/>
      <c r="P43" s="657"/>
      <c r="Q43" s="657"/>
      <c r="R43" s="657"/>
      <c r="S43" s="657"/>
      <c r="T43" s="657"/>
      <c r="U43" s="657"/>
    </row>
    <row r="44" spans="3:21" x14ac:dyDescent="0.35">
      <c r="C44" s="102" t="str">
        <f>template_label_15_investments</f>
        <v>15. Investments</v>
      </c>
      <c r="D44" s="688"/>
      <c r="E44" s="689"/>
      <c r="F44" s="697"/>
      <c r="G44" s="674"/>
      <c r="H44" s="675"/>
      <c r="I44" s="675"/>
      <c r="J44" s="266"/>
      <c r="K44" s="293" t="str">
        <f t="shared" si="1"/>
        <v>-</v>
      </c>
      <c r="L44" s="676"/>
      <c r="M44" s="657"/>
      <c r="N44" s="657"/>
      <c r="O44" s="657"/>
      <c r="P44" s="657"/>
      <c r="Q44" s="657"/>
      <c r="R44" s="657"/>
      <c r="S44" s="657"/>
      <c r="T44" s="657"/>
      <c r="U44" s="657"/>
    </row>
    <row r="45" spans="3:21" ht="15" thickBot="1" x14ac:dyDescent="0.4">
      <c r="C45" s="113" t="str">
        <f>template_label_total_scope_3_ghg_emissions</f>
        <v>Total Scope 3 GHG  emissions</v>
      </c>
      <c r="D45" s="678" t="str">
        <f>IF(AND(G29=FALSE, COUNTA(D30:F44)=0), "-", IF(G29=TRUE, IF(SUM(D30:F44)=0, "-", SUM(D30:F44)), "-"))</f>
        <v>-</v>
      </c>
      <c r="E45" s="678"/>
      <c r="F45" s="865"/>
      <c r="G45" s="677" t="str">
        <f>IF(AND(G29=FALSE, COUNTA(G30:I44)=0), "-", IF(G29=TRUE, IF(SUM(G30:I44)=0, "-", SUM(G30:I44)), "-"))</f>
        <v>-</v>
      </c>
      <c r="H45" s="678"/>
      <c r="I45" s="678"/>
      <c r="J45" s="267" t="str">
        <f>IF(AND(G29=FALSE, COUNTA(J30:J44)=0), "-", IF(G29=TRUE, IF(SUM(J30:J44)=0, "-", SUM(J30:J44)), "-"))</f>
        <v>-</v>
      </c>
      <c r="K45" s="230" t="str">
        <f t="shared" ref="K45:K47" si="2">IF(AND(G45="", J45=""), "-", IFERROR(-(1 - (J45 / G45)), "-"))</f>
        <v>-</v>
      </c>
      <c r="L45" s="16"/>
      <c r="M45" s="657"/>
      <c r="N45" s="657"/>
      <c r="O45" s="657"/>
      <c r="P45" s="657"/>
      <c r="Q45" s="657"/>
      <c r="R45" s="657"/>
      <c r="S45" s="657"/>
      <c r="T45" s="657"/>
      <c r="U45" s="657"/>
    </row>
    <row r="46" spans="3:21" x14ac:dyDescent="0.35">
      <c r="C46" s="13" t="str">
        <f>template_label_total_scope_1_scope_2_and_scope_3_ghg_emissions_location_based</f>
        <v>Total Scope 1 Scope 2 and Scope 3 GHG Emissions (location-based)</v>
      </c>
      <c r="D46" s="836" t="str">
        <f>IF(G29=FALSE, "-", IF(AND(D22="", D23="", D45=""), "-", IF(SUM(D22, D23, D45)=0, "-", SUM(D22, D23, D45))))</f>
        <v>-</v>
      </c>
      <c r="E46" s="836"/>
      <c r="F46" s="837"/>
      <c r="G46" s="852" t="str">
        <f>IF(G29=FALSE, "-", IF(AND(G22="", G23="", G45=""), "-", IF(SUM(G22, G23, G45)=0, "-", SUM(G22, G23, G45))))</f>
        <v>-</v>
      </c>
      <c r="H46" s="836"/>
      <c r="I46" s="836"/>
      <c r="J46" s="263" t="str">
        <f>IF(G29=FALSE, "-", IF(AND(J22="", J23="", J45=""), "-", IF(SUM(J22, J23, J45)=0, "-", SUM(J22, J23, J45))))</f>
        <v>-</v>
      </c>
      <c r="K46" s="231" t="str">
        <f t="shared" si="2"/>
        <v>-</v>
      </c>
      <c r="M46" s="476"/>
      <c r="N46" s="476"/>
      <c r="O46" s="476"/>
      <c r="P46" s="476"/>
      <c r="Q46" s="476"/>
      <c r="R46" s="476"/>
      <c r="S46" s="476"/>
      <c r="T46" s="476"/>
    </row>
    <row r="47" spans="3:21" ht="15" thickBot="1" x14ac:dyDescent="0.4">
      <c r="C47" s="114" t="str">
        <f>template_label_total_scope_1_scope_2_and_scope_3_ghg_emissions_market_based &amp; " - " &amp; template_label_may_not_headline</f>
        <v>Total Scope 1 Scope 2 and Scope 3 GHG Emissions (market-based) - May (optional)</v>
      </c>
      <c r="D47" s="854" t="str">
        <f>IF(G29=FALSE,"-",IF(OR(D22="",D24="",D45=""),"-",SUM(D22,D24,D45)))</f>
        <v>-</v>
      </c>
      <c r="E47" s="855"/>
      <c r="F47" s="856"/>
      <c r="G47" s="857" t="str">
        <f>IF(G29=FALSE, "-", IF(OR(G22="", G24="", G45=""), "-", IF(SUM(G22, G24, G45)=0, "-", SUM(G22, G24, G45))))</f>
        <v>-</v>
      </c>
      <c r="H47" s="855"/>
      <c r="I47" s="858"/>
      <c r="J47" s="265" t="str">
        <f>IF(G29=FALSE, "-", IF(OR(J22="", J24="", J45=""), "-", IF(SUM(J22, J24, J45)=0, "-", SUM(J22, J24, J45))))</f>
        <v>-</v>
      </c>
      <c r="K47" s="230" t="str">
        <f t="shared" si="2"/>
        <v>-</v>
      </c>
      <c r="M47" s="476"/>
      <c r="N47" s="476"/>
      <c r="O47" s="476"/>
      <c r="P47" s="476"/>
      <c r="Q47" s="476"/>
      <c r="R47" s="476"/>
      <c r="S47" s="476"/>
      <c r="T47" s="476"/>
    </row>
    <row r="48" spans="3:21" ht="15" thickBot="1" x14ac:dyDescent="0.4">
      <c r="C48" s="115"/>
      <c r="D48" s="115"/>
      <c r="E48" s="115"/>
      <c r="F48" s="115"/>
      <c r="G48" s="115"/>
      <c r="H48" s="115"/>
      <c r="I48" s="115"/>
      <c r="J48" s="115"/>
      <c r="K48" s="115"/>
    </row>
    <row r="49" spans="1:12" x14ac:dyDescent="0.35">
      <c r="C49" s="709" t="str">
        <f>template_label_c3_disclosure_of_list_of_main_actions_the_entity_seeks_in_order_to_achieve_its_targets&amp;" "&amp;template_label_from&amp;" "&amp;template_starting_date_display&amp;" "&amp;template_label_to&amp;" "&amp;template_ending_date_display&amp;" "&amp;template_label_if_applicable</f>
        <v>C3 - Disclosure of list of main actions the entity seeks in order to achieve its targets from - to - [If applicable]</v>
      </c>
      <c r="D49" s="709"/>
      <c r="E49" s="709"/>
      <c r="F49" s="709"/>
      <c r="G49" s="709"/>
      <c r="H49" s="709"/>
      <c r="I49" s="709"/>
      <c r="J49" s="709"/>
      <c r="K49" s="845"/>
      <c r="L49" s="8"/>
    </row>
    <row r="50" spans="1:12" x14ac:dyDescent="0.35">
      <c r="C50" s="516" t="s">
        <v>3749</v>
      </c>
      <c r="D50" s="516"/>
      <c r="E50" s="516"/>
      <c r="F50" s="516"/>
      <c r="G50" s="516"/>
      <c r="H50" s="516"/>
      <c r="I50" s="516"/>
      <c r="J50" s="516"/>
      <c r="K50" s="799"/>
    </row>
    <row r="51" spans="1:12" x14ac:dyDescent="0.35">
      <c r="C51" s="701">
        <v>159</v>
      </c>
      <c r="D51" s="701"/>
      <c r="E51" s="701"/>
      <c r="F51" s="701"/>
      <c r="G51" s="701"/>
      <c r="H51" s="701"/>
      <c r="I51" s="701"/>
      <c r="J51" s="701"/>
      <c r="K51" s="701"/>
      <c r="L51" s="8"/>
    </row>
    <row r="52" spans="1:12" ht="15" thickBot="1" x14ac:dyDescent="0.4">
      <c r="C52" s="843"/>
      <c r="D52" s="843"/>
      <c r="E52" s="843"/>
      <c r="F52" s="843"/>
      <c r="G52" s="843"/>
      <c r="H52" s="843"/>
      <c r="I52" s="843"/>
      <c r="J52" s="843"/>
      <c r="K52" s="844"/>
      <c r="L52" s="105" t="str">
        <f>IF(AND(J19=TRUE, C52&lt;&gt;""), template_label_ok, IF(AND(J19=TRUE, C52=""), template_label_missing_value, ""))</f>
        <v/>
      </c>
    </row>
    <row r="54" spans="1:12" ht="15" thickBot="1" x14ac:dyDescent="0.4">
      <c r="C54" s="9"/>
      <c r="D54" s="9"/>
      <c r="E54" s="9"/>
      <c r="F54" s="9"/>
      <c r="G54" s="9"/>
      <c r="H54" s="9"/>
      <c r="I54" s="9"/>
      <c r="J54" s="9"/>
      <c r="K54" s="9"/>
    </row>
    <row r="55" spans="1:12" x14ac:dyDescent="0.35">
      <c r="C55" s="709" t="str">
        <f>template_label_c3_transition_plan_for_undertakings_operating_in_high_climate_impact_sectors&amp;" "&amp;template_label_from&amp;" "&amp;template_starting_date_display&amp;" "&amp;template_label_to&amp;" "&amp;template_ending_date_display&amp;" "&amp; template_label_if_applicable</f>
        <v>C3 - Transition plan for undertakings operating in high climate impact sectors from - to - [If applicable]</v>
      </c>
      <c r="D55" s="709"/>
      <c r="E55" s="709"/>
      <c r="F55" s="709"/>
      <c r="G55" s="709"/>
      <c r="H55" s="709"/>
      <c r="I55" s="709"/>
      <c r="J55" s="709"/>
      <c r="K55" s="710"/>
    </row>
    <row r="56" spans="1:12" ht="38.4" customHeight="1" x14ac:dyDescent="0.35">
      <c r="A56" s="462">
        <v>55</v>
      </c>
      <c r="B56" s="465" t="s">
        <v>5651</v>
      </c>
      <c r="C56" s="102" t="str">
        <f>template_label_is_the_undertaking_operating_in_high_impact_sectors</f>
        <v>Is the undertaking operating in high impact sectors?</v>
      </c>
      <c r="D56" s="827" t="b">
        <f>OR(
  ISNUMBER(MATCH('General Information'!E45, 'Enumeration Lists'!D3:D677, 0)),
  ISNUMBER(MATCH('General Information'!E46, 'Enumeration Lists'!D3:D677, 0)),
  ISNUMBER(MATCH('General Information'!E47, 'Enumeration Lists'!D3:D677, 0)),
  ISNUMBER(MATCH('General Information'!E48, 'Enumeration Lists'!D3:D677, 0)),
  ISNUMBER(MATCH('General Information'!E49, 'Enumeration Lists'!D3:D677, 0)),
  ISNUMBER(MATCH('General Information'!E45, 'Enumeration Lists'!D782:D791, 0)),
  ISNUMBER(MATCH('General Information'!E46, 'Enumeration Lists'!D782:D791, 0)),
  ISNUMBER(MATCH('General Information'!E47, 'Enumeration Lists'!D782:D791, 0)),
  ISNUMBER(MATCH('General Information'!E48, 'Enumeration Lists'!D782:D791, 0)),
  ISNUMBER(MATCH('General Information'!E49, 'Enumeration Lists'!D782:D791, 0))
)</f>
        <v>0</v>
      </c>
      <c r="E56" s="828"/>
      <c r="F56" s="828"/>
      <c r="G56" s="828"/>
      <c r="H56" s="828"/>
      <c r="I56" s="828"/>
      <c r="J56" s="828"/>
      <c r="K56" s="829"/>
      <c r="L56" s="16"/>
    </row>
    <row r="57" spans="1:12" x14ac:dyDescent="0.35">
      <c r="A57" s="462">
        <v>55</v>
      </c>
      <c r="B57" s="465" t="s">
        <v>5651</v>
      </c>
      <c r="C57" s="102" t="str">
        <f>template_label_status_of_implementation_of_a_transition_plan_in_relation_to_climate_change_mitigation</f>
        <v>Status of implementation of a transition plan in relation to climate change mitigation</v>
      </c>
      <c r="D57" s="838"/>
      <c r="E57" s="839"/>
      <c r="F57" s="839"/>
      <c r="G57" s="839"/>
      <c r="H57" s="839"/>
      <c r="I57" s="839"/>
      <c r="J57" s="839"/>
      <c r="K57" s="840"/>
      <c r="L57" s="16" t="str">
        <f>IF(AND(OR(D57="A transition plan has already been adopted", D57="Adoption of a transition plan is planned in the future"), D56=TRUE),
    template_label_ok,
    IF(AND(BasisForPreparation="Option B (Basic Module and Comprehensive Module)", D57="", D56=TRUE),
       template_label_missing_value,
       ""
    )
)</f>
        <v/>
      </c>
    </row>
    <row r="58" spans="1:12" ht="29" x14ac:dyDescent="0.35">
      <c r="A58" s="462">
        <v>55</v>
      </c>
      <c r="B58" s="465" t="s">
        <v>5651</v>
      </c>
      <c r="C58" s="116" t="str">
        <f>template_label_description_of_a_transition_plan_for_climate_change_mitigation &amp; " - " &amp; template_label_may_not_headline</f>
        <v>Description of a transition plan for climate change mitigation including an explanation of how it is contributing to reduce GHG emissions - May (optional)</v>
      </c>
      <c r="D58" s="841"/>
      <c r="E58" s="841"/>
      <c r="F58" s="841"/>
      <c r="G58" s="841"/>
      <c r="H58" s="841"/>
      <c r="I58" s="841"/>
      <c r="J58" s="841"/>
      <c r="K58" s="842"/>
      <c r="L58" s="16" t="str">
        <f>IF(AND(D57="A transition plan has already been adopted", DescriptionOfATransitionPlanForClimateChangeMitigationIncludingAnExplanationOfHowItIsContributingToReduceGhgEmissions&lt;&gt;""), template_label_ok, "")</f>
        <v/>
      </c>
    </row>
    <row r="59" spans="1:12" x14ac:dyDescent="0.35">
      <c r="A59" s="659">
        <v>56</v>
      </c>
      <c r="B59" s="662" t="s">
        <v>5651</v>
      </c>
      <c r="C59" s="665" t="str">
        <f>template_label_date_of_foreseen_adoption_of_transition_plan_for_undertaking_not_having_adopted_transition_plan_yet</f>
        <v>Date of foreseen adoption of transition plan for undertaking not having adopted transition plan yet</v>
      </c>
      <c r="D59" s="668" t="str">
        <f>template_label_year</f>
        <v>Year</v>
      </c>
      <c r="E59" s="669"/>
      <c r="F59" s="669"/>
      <c r="G59" s="669"/>
      <c r="H59" s="670"/>
      <c r="I59" s="671"/>
      <c r="J59" s="672"/>
      <c r="K59" s="673"/>
      <c r="L59" s="658" t="str">
        <f>IF(AND(D57="A transition plan has already been adopted", OR(I59="", I60="", I61="")),
    "",
    IF(AND(D57="Adoption of a transition plan is planned in the future", OR(I59="", I60="", I61="")),
        template_label_missing_value,
        IF(AND(D57="", OR(I59="", I60="", I61="")),
            "",
            IF(OR(
                AND(I60=2, I61&gt;29),
                AND(I60=2, I61=29, NOT(AND(MOD(I59,4)=0, OR(MOD(I59,100)&lt;&gt;0, MOD(I59,400)=0)))),
                AND(OR(I60=4, I60=6, I60=9, I60=11), I61=31)
            ),
            template_label_error,
            template_label_ok
            )
        )
    )
)</f>
        <v/>
      </c>
    </row>
    <row r="60" spans="1:12" x14ac:dyDescent="0.35">
      <c r="A60" s="660"/>
      <c r="B60" s="663"/>
      <c r="C60" s="666"/>
      <c r="D60" s="668" t="str">
        <f>template_label_month</f>
        <v>Month</v>
      </c>
      <c r="E60" s="669"/>
      <c r="F60" s="669"/>
      <c r="G60" s="669"/>
      <c r="H60" s="670"/>
      <c r="I60" s="671"/>
      <c r="J60" s="672"/>
      <c r="K60" s="673"/>
      <c r="L60" s="658"/>
    </row>
    <row r="61" spans="1:12" x14ac:dyDescent="0.35">
      <c r="A61" s="660"/>
      <c r="B61" s="663"/>
      <c r="C61" s="666"/>
      <c r="D61" s="668" t="str">
        <f>template_label_day</f>
        <v>Day</v>
      </c>
      <c r="E61" s="669"/>
      <c r="F61" s="669"/>
      <c r="G61" s="669"/>
      <c r="H61" s="670"/>
      <c r="I61" s="671"/>
      <c r="J61" s="672"/>
      <c r="K61" s="673"/>
      <c r="L61" s="658"/>
    </row>
    <row r="62" spans="1:12" ht="15" thickBot="1" x14ac:dyDescent="0.4">
      <c r="A62" s="661"/>
      <c r="B62" s="664"/>
      <c r="C62" s="667"/>
      <c r="D62" s="825" t="str">
        <f>IF(OR(ISBLANK(I59), ISBLANK(I60), ISBLANK(I61)), "-", I59 &amp; "-" &amp; TEXT(I60, "00") &amp; "-" &amp; TEXT(I61, "00"))</f>
        <v>-</v>
      </c>
      <c r="E62" s="825"/>
      <c r="F62" s="825"/>
      <c r="G62" s="825"/>
      <c r="H62" s="825"/>
      <c r="I62" s="825"/>
      <c r="J62" s="825"/>
      <c r="K62" s="826"/>
      <c r="L62" s="382"/>
    </row>
    <row r="63" spans="1:12" ht="15" thickBot="1" x14ac:dyDescent="0.4"/>
    <row r="64" spans="1:12" ht="14.9" customHeight="1" x14ac:dyDescent="0.35">
      <c r="C64" s="589" t="str">
        <f>template_label_b3_greenhouse_gas_emission_intensity_per_turnover&amp;" "&amp;template_label_from&amp;" "&amp;template_starting_date_display&amp;" "&amp;template_label_to&amp;" "&amp;template_ending_date_display&amp;" "&amp;template_label_always_to_be_reported</f>
        <v>B3 - Greenhouse gas emission intensity per turnover (in tCO2e) from - to - [Always to be reported]</v>
      </c>
      <c r="D64" s="589"/>
      <c r="E64" s="589"/>
      <c r="F64" s="589"/>
      <c r="G64" s="589"/>
      <c r="H64" s="589"/>
      <c r="I64" s="589"/>
      <c r="J64" s="589"/>
      <c r="K64" s="708"/>
    </row>
    <row r="65" spans="3:12" ht="14.9" customHeight="1" x14ac:dyDescent="0.35">
      <c r="C65" s="706">
        <v>31</v>
      </c>
      <c r="D65" s="706"/>
      <c r="E65" s="706"/>
      <c r="F65" s="706"/>
      <c r="G65" s="706"/>
      <c r="H65" s="706"/>
      <c r="I65" s="706"/>
      <c r="J65" s="706"/>
      <c r="K65" s="707"/>
    </row>
    <row r="66" spans="3:12" x14ac:dyDescent="0.35">
      <c r="C66" s="605" t="str">
        <f>template_label_scope_1_and_scope_2_ghg_emissions_intensity_location_based</f>
        <v>Scope 1 and Scope 2 GHG Emissions intensity (location-based)</v>
      </c>
      <c r="D66" s="606"/>
      <c r="E66" s="606"/>
      <c r="F66" s="606"/>
      <c r="G66" s="704" t="str">
        <f>IF(G29=TRUE,
   "-",
   IFERROR(
      IF(OR(D25="", Turnover=""), "-", D25/Turnover),
      "-"
   )
)</f>
        <v>-</v>
      </c>
      <c r="H66" s="704"/>
      <c r="I66" s="704"/>
      <c r="J66" s="704"/>
      <c r="K66" s="705"/>
    </row>
    <row r="67" spans="3:12" x14ac:dyDescent="0.35">
      <c r="C67" s="665" t="str">
        <f>template_label_scope_1_and_scope_2_ghg_emissions_intensity_market_based &amp; " - " &amp; template_label_may_not_headline</f>
        <v>Scope 1 and Scope 2 GHG Emissions intensity (market-based) - May (optional)</v>
      </c>
      <c r="D67" s="859"/>
      <c r="E67" s="859"/>
      <c r="F67" s="859"/>
      <c r="G67" s="860" t="str">
        <f>IF(G29=TRUE,
   "-",
   IFERROR(
      IF(OR(D26="", Turnover=""), "-", D26/Turnover),
      "-"
   )
)</f>
        <v>-</v>
      </c>
      <c r="H67" s="860"/>
      <c r="I67" s="860"/>
      <c r="J67" s="860"/>
      <c r="K67" s="861"/>
    </row>
    <row r="68" spans="3:12" x14ac:dyDescent="0.35">
      <c r="C68" s="605" t="str">
        <f>template_label_total_scope_1_scope_2_and_scope_3_ghg_emissions_intensity_location_based</f>
        <v>Total Scope 1 Scope 2 and Scope 3 GHG Emissions intensity (location-based)</v>
      </c>
      <c r="D68" s="606"/>
      <c r="E68" s="606"/>
      <c r="F68" s="765"/>
      <c r="G68" s="846" t="str">
        <f>IF(G29=FALSE,
   "-",
   IFERROR(
      IF(OR(D46="", Turnover=""), "-", D46/Turnover),
      "-"
   )
)</f>
        <v>-</v>
      </c>
      <c r="H68" s="847"/>
      <c r="I68" s="847"/>
      <c r="J68" s="847"/>
      <c r="K68" s="848"/>
    </row>
    <row r="69" spans="3:12" ht="15" thickBot="1" x14ac:dyDescent="0.4">
      <c r="C69" s="552" t="str">
        <f>template_label_total_scope_1_scope_2_and_scope_3_ghg_emissions_intensity_market_based &amp; " - " &amp; template_label_may_not_headline</f>
        <v>Total Scope 1 Scope 2 and Scope 3 GHG Emissions intensity (market-based) - May (optional)</v>
      </c>
      <c r="D69" s="553"/>
      <c r="E69" s="553"/>
      <c r="F69" s="766"/>
      <c r="G69" s="813" t="str">
        <f>IF(G29=FALSE,
   "-",
   IFERROR(
      IF(OR(D47="", Turnover=""), "-", D47/Turnover),
      "-"
   )
)</f>
        <v>-</v>
      </c>
      <c r="H69" s="814"/>
      <c r="I69" s="814"/>
      <c r="J69" s="814"/>
      <c r="K69" s="815"/>
      <c r="L69" s="8"/>
    </row>
    <row r="70" spans="3:12" ht="15" thickBot="1" x14ac:dyDescent="0.4"/>
    <row r="71" spans="3:12" x14ac:dyDescent="0.35">
      <c r="C71" s="711" t="str">
        <f>template_label_b4_pollution_of_air_water_and_soil&amp;" "&amp;template_label_from&amp;" "&amp;template_starting_date_display&amp;" "&amp;template_label_to&amp;" "&amp;template_ending_date_display&amp;" "&amp;template_label_if_applicable</f>
        <v>B4 – Pollution of air water and soil from - to - [If applicable]</v>
      </c>
      <c r="D71" s="712"/>
      <c r="E71" s="712"/>
      <c r="F71" s="712"/>
      <c r="G71" s="712"/>
      <c r="H71" s="712"/>
      <c r="I71" s="712"/>
      <c r="J71" s="712"/>
      <c r="K71" s="713"/>
    </row>
    <row r="72" spans="3:12" x14ac:dyDescent="0.35">
      <c r="C72" s="714">
        <v>32</v>
      </c>
      <c r="D72" s="715"/>
      <c r="E72" s="715"/>
      <c r="F72" s="715"/>
      <c r="G72" s="715"/>
      <c r="H72" s="715"/>
      <c r="I72" s="715"/>
      <c r="J72" s="715"/>
      <c r="K72" s="716"/>
    </row>
    <row r="73" spans="3:12" x14ac:dyDescent="0.35">
      <c r="C73" s="739" t="s">
        <v>5652</v>
      </c>
      <c r="D73" s="740"/>
      <c r="E73" s="740"/>
      <c r="F73" s="740"/>
      <c r="G73" s="740"/>
      <c r="H73" s="740"/>
      <c r="I73" s="740"/>
      <c r="J73" s="740"/>
      <c r="K73" s="746"/>
    </row>
    <row r="74" spans="3:12" ht="30" customHeight="1" x14ac:dyDescent="0.35">
      <c r="C74" s="637" t="str">
        <f>template_label_required_by_law_or_other_national_regulations_to_report_to_competent_authorities_its_emissions_of_pollutants</f>
        <v>Is the undertaking already required by law or other national regulations to report to competent authorities its emissions of pollutants or does it already voluntarily report on them according to an Environmental Management System?</v>
      </c>
      <c r="D74" s="795"/>
      <c r="E74" s="795"/>
      <c r="F74" s="638"/>
      <c r="G74" s="830" t="b">
        <v>0</v>
      </c>
      <c r="H74" s="831"/>
      <c r="I74" s="831"/>
      <c r="J74" s="831"/>
      <c r="K74" s="832"/>
      <c r="L74" s="16"/>
    </row>
    <row r="75" spans="3:12" x14ac:dyDescent="0.35">
      <c r="C75" s="605" t="str">
        <f>template_label_is_this_disclosure_already_publicly_available</f>
        <v>Is this disclosure already publicly available?</v>
      </c>
      <c r="D75" s="606"/>
      <c r="E75" s="606"/>
      <c r="F75" s="606"/>
      <c r="G75" s="834" t="b">
        <v>0</v>
      </c>
      <c r="H75" s="834"/>
      <c r="I75" s="834"/>
      <c r="J75" s="834"/>
      <c r="K75" s="835"/>
      <c r="L75" s="16" t="str" cm="1">
        <f t="array" ref="L75">IF(AND(G75=TRUE, D80:K119=""),
    template_label_ok,
    IF(AND(OR(D80:K119&lt;&gt;""), G75=TRUE),
       template_label_value_inconsistency,
       ""
    )
)</f>
        <v/>
      </c>
    </row>
    <row r="76" spans="3:12" x14ac:dyDescent="0.35">
      <c r="C76" s="605" t="str">
        <f>template_label_please_provide_the_relevant_url_link_or_hyperlink_of_where_this_information_is_reported</f>
        <v>Please provide the relevant URL link or hyperlink of where this information is reported</v>
      </c>
      <c r="D76" s="606"/>
      <c r="E76" s="606"/>
      <c r="F76" s="606"/>
      <c r="G76" s="816"/>
      <c r="H76" s="695"/>
      <c r="I76" s="695"/>
      <c r="J76" s="695"/>
      <c r="K76" s="817"/>
      <c r="L76" s="16" t="str">
        <f>IF(G75=TRUE,
   IF(G76="",
      template_label_missing_value,
      IF(OR(LEFT(G76,7)="http://", LEFT(G76,8)="https://", LEFT(G76,4)="www."),
         template_label_ok,
         template_label_invalid_url
      )
   ),
"")</f>
        <v/>
      </c>
    </row>
    <row r="77" spans="3:12" x14ac:dyDescent="0.35">
      <c r="C77" s="819" t="str">
        <f>template_label_please_select_the_unit_used_for_reporting_the_amount</f>
        <v>Please select the unit used for reporting the amount (i.e. either kg or tonne)</v>
      </c>
      <c r="D77" s="820"/>
      <c r="E77" s="820"/>
      <c r="F77" s="820"/>
      <c r="G77" s="820"/>
      <c r="H77" s="820"/>
      <c r="I77" s="820"/>
      <c r="J77" s="820"/>
      <c r="K77" s="821"/>
    </row>
    <row r="78" spans="3:12" x14ac:dyDescent="0.35">
      <c r="C78" s="822"/>
      <c r="D78" s="823"/>
      <c r="E78" s="823"/>
      <c r="F78" s="823"/>
      <c r="G78" s="823"/>
      <c r="H78" s="823"/>
      <c r="I78" s="823"/>
      <c r="J78" s="823"/>
      <c r="K78" s="824"/>
      <c r="L78" s="17" t="str" cm="1">
        <f t="array" ref="L78">IF(AND(OR(D80:F119&lt;&gt;"", G80:I119&lt;&gt;"", J80:J119&lt;&gt;"", G162&lt;&gt;"", K80:K119&lt;&gt;""), C78&lt;&gt;"", G74=TRUE, G75=FALSE),
    template_label_ok,
    IF(AND(OR(D80:F119&lt;&gt;"", G80:I119&lt;&gt;"", J80:J119&lt;&gt;"", G162&lt;&gt;"", K80:K119&lt;&gt;""), C78&lt;&gt;"", G74=TRUE, G75=TRUE),
        template_label_value_inconsistency,
        IF(AND(OR(D80:D119="", G80:G119="", J80:J119="", K80:K119=""), C78&lt;&gt;"", G74=TRUE, G75=FALSE),
            template_label_ok,
            IF(AND(OR(D80:D119="", G80:G119="", J80:J119="", K80:K119=""), C78&lt;&gt;"", G74=TRUE, G75=TRUE),
                template_label_value_inconsistency,
                IF(AND(OR(D80:F119&lt;&gt;"", G80:I119&lt;&gt;"", J80:J119&lt;&gt;"", G162&lt;&gt;"", K80:K119&lt;&gt;""), C78="", G74=TRUE, G75=FALSE),
                    template_label_missing_value,
                    ""
                )
            )
        )
    )
)</f>
        <v/>
      </c>
    </row>
    <row r="79" spans="3:12" x14ac:dyDescent="0.35">
      <c r="C79" s="118" t="str">
        <f>template_label_row_id</f>
        <v>Row ID</v>
      </c>
      <c r="D79" s="761" t="str">
        <f>template_label_pollutant</f>
        <v>Pollutant</v>
      </c>
      <c r="E79" s="761"/>
      <c r="F79" s="761"/>
      <c r="G79" s="761" t="str">
        <f>template_label_emission_to_air</f>
        <v>Emission to air</v>
      </c>
      <c r="H79" s="761"/>
      <c r="I79" s="761"/>
      <c r="J79" s="6" t="str">
        <f>template_label_emission_to_water</f>
        <v>Emission to water</v>
      </c>
      <c r="K79" s="108" t="str">
        <f>template_label_emission_to_soil</f>
        <v>Emission to soil</v>
      </c>
    </row>
    <row r="80" spans="3:12" x14ac:dyDescent="0.35">
      <c r="C80" s="232">
        <v>1</v>
      </c>
      <c r="D80" s="695"/>
      <c r="E80" s="695"/>
      <c r="F80" s="695"/>
      <c r="G80" s="688"/>
      <c r="H80" s="689"/>
      <c r="I80" s="690"/>
      <c r="J80" s="266"/>
      <c r="K80" s="268"/>
      <c r="L80" s="16" t="str">
        <f>IF(AND($G$74=TRUE,$G$75=TRUE,OR(D80&lt;&gt;"",G80&lt;&gt;"",J80&lt;&gt;"",K80&lt;&gt;"")),
    template_label_value_inconsistency,
IF($G$74&lt;&gt;TRUE, "",
IF(AND(D80="", G80="", J80="", K80=""), "",
IF(AND(D80&lt;&gt;"", G80="", J80="", K80=""), template_label_missing_value,
IF(AND(D80&lt;&gt;"", OR(G80&lt;&gt;"", J80&lt;&gt;"", K80&lt;&gt;"")),
    IF(COUNTIF($D$80:$D$119, D80)&gt;1, template_label_value_inconsistency, template_label_ok),
template_label_missing_value)))))</f>
        <v/>
      </c>
    </row>
    <row r="81" spans="3:13" x14ac:dyDescent="0.35">
      <c r="C81" s="232">
        <v>2</v>
      </c>
      <c r="D81" s="695"/>
      <c r="E81" s="695"/>
      <c r="F81" s="695"/>
      <c r="G81" s="688"/>
      <c r="H81" s="689"/>
      <c r="I81" s="690"/>
      <c r="J81" s="266"/>
      <c r="K81" s="268"/>
      <c r="L81" s="16" t="str">
        <f t="shared" ref="L81:L119" si="3">IF(AND($G$74=TRUE,$G$75=TRUE,OR(D81&lt;&gt;"",G81&lt;&gt;"",J81&lt;&gt;"",K81&lt;&gt;"")),
    template_label_value_inconsistency,
IF($G$74&lt;&gt;TRUE, "",
IF(AND(D81="", G81="", J81="", K81=""), "",
IF(AND(D81&lt;&gt;"", G81="", J81="", K81=""), template_label_missing_value,
IF(AND(D81&lt;&gt;"", OR(G81&lt;&gt;"", J81&lt;&gt;"", K81&lt;&gt;"")),
    IF(COUNTIF($D$80:$D$119, D81)&gt;1, template_label_value_inconsistency, template_label_ok),
template_label_missing_value)))))</f>
        <v/>
      </c>
    </row>
    <row r="82" spans="3:13" ht="15" thickBot="1" x14ac:dyDescent="0.4">
      <c r="C82" s="234">
        <v>3</v>
      </c>
      <c r="D82" s="696"/>
      <c r="E82" s="696"/>
      <c r="F82" s="696"/>
      <c r="G82" s="691"/>
      <c r="H82" s="692"/>
      <c r="I82" s="693"/>
      <c r="J82" s="269"/>
      <c r="K82" s="270"/>
      <c r="L82" s="16" t="str">
        <f t="shared" si="3"/>
        <v/>
      </c>
      <c r="M82" t="str">
        <f>template_label_additional_rows_warning</f>
        <v>ℹ️  Lists can be expanded using the little [+] button on the left.  If the number of rows is not sufficient, those can be added by right clicking the second row and selecting "Insert row".</v>
      </c>
    </row>
    <row r="83" spans="3:13" hidden="1" outlineLevel="1" x14ac:dyDescent="0.35">
      <c r="C83" s="233">
        <v>4</v>
      </c>
      <c r="D83" s="812"/>
      <c r="E83" s="812"/>
      <c r="F83" s="812"/>
      <c r="G83" s="694"/>
      <c r="H83" s="694"/>
      <c r="I83" s="694"/>
      <c r="J83" s="271"/>
      <c r="K83" s="272"/>
      <c r="L83" s="16" t="str">
        <f t="shared" si="3"/>
        <v/>
      </c>
    </row>
    <row r="84" spans="3:13" hidden="1" outlineLevel="1" x14ac:dyDescent="0.35">
      <c r="C84" s="232">
        <v>5</v>
      </c>
      <c r="D84" s="695"/>
      <c r="E84" s="695"/>
      <c r="F84" s="695"/>
      <c r="G84" s="675"/>
      <c r="H84" s="675"/>
      <c r="I84" s="675"/>
      <c r="J84" s="266"/>
      <c r="K84" s="268"/>
      <c r="L84" s="16" t="str">
        <f t="shared" si="3"/>
        <v/>
      </c>
    </row>
    <row r="85" spans="3:13" hidden="1" outlineLevel="1" x14ac:dyDescent="0.35">
      <c r="C85" s="232">
        <v>6</v>
      </c>
      <c r="D85" s="695"/>
      <c r="E85" s="695"/>
      <c r="F85" s="695"/>
      <c r="G85" s="675"/>
      <c r="H85" s="675"/>
      <c r="I85" s="675"/>
      <c r="J85" s="266"/>
      <c r="K85" s="268"/>
      <c r="L85" s="16" t="str">
        <f t="shared" si="3"/>
        <v/>
      </c>
    </row>
    <row r="86" spans="3:13" hidden="1" outlineLevel="1" x14ac:dyDescent="0.35">
      <c r="C86" s="232">
        <v>7</v>
      </c>
      <c r="D86" s="695"/>
      <c r="E86" s="695"/>
      <c r="F86" s="695"/>
      <c r="G86" s="675"/>
      <c r="H86" s="675"/>
      <c r="I86" s="675"/>
      <c r="J86" s="266"/>
      <c r="K86" s="268"/>
      <c r="L86" s="16" t="str">
        <f t="shared" si="3"/>
        <v/>
      </c>
    </row>
    <row r="87" spans="3:13" hidden="1" outlineLevel="1" x14ac:dyDescent="0.35">
      <c r="C87" s="232">
        <v>8</v>
      </c>
      <c r="D87" s="695"/>
      <c r="E87" s="695"/>
      <c r="F87" s="695"/>
      <c r="G87" s="675"/>
      <c r="H87" s="675"/>
      <c r="I87" s="675"/>
      <c r="J87" s="266"/>
      <c r="K87" s="268"/>
      <c r="L87" s="16" t="str">
        <f t="shared" si="3"/>
        <v/>
      </c>
    </row>
    <row r="88" spans="3:13" hidden="1" outlineLevel="1" x14ac:dyDescent="0.35">
      <c r="C88" s="232">
        <v>9</v>
      </c>
      <c r="D88" s="695"/>
      <c r="E88" s="695"/>
      <c r="F88" s="695"/>
      <c r="G88" s="675"/>
      <c r="H88" s="675"/>
      <c r="I88" s="675"/>
      <c r="J88" s="266"/>
      <c r="K88" s="268"/>
      <c r="L88" s="16" t="str">
        <f t="shared" si="3"/>
        <v/>
      </c>
    </row>
    <row r="89" spans="3:13" hidden="1" outlineLevel="1" x14ac:dyDescent="0.35">
      <c r="C89" s="232">
        <v>10</v>
      </c>
      <c r="D89" s="695"/>
      <c r="E89" s="695"/>
      <c r="F89" s="695"/>
      <c r="G89" s="675"/>
      <c r="H89" s="675"/>
      <c r="I89" s="675"/>
      <c r="J89" s="266"/>
      <c r="K89" s="268"/>
      <c r="L89" s="16" t="str">
        <f t="shared" si="3"/>
        <v/>
      </c>
    </row>
    <row r="90" spans="3:13" hidden="1" outlineLevel="1" x14ac:dyDescent="0.35">
      <c r="C90" s="232">
        <v>11</v>
      </c>
      <c r="D90" s="695"/>
      <c r="E90" s="695"/>
      <c r="F90" s="695"/>
      <c r="G90" s="675"/>
      <c r="H90" s="675"/>
      <c r="I90" s="675"/>
      <c r="J90" s="266"/>
      <c r="K90" s="268"/>
      <c r="L90" s="16" t="str">
        <f t="shared" si="3"/>
        <v/>
      </c>
    </row>
    <row r="91" spans="3:13" hidden="1" outlineLevel="1" x14ac:dyDescent="0.35">
      <c r="C91" s="232">
        <v>12</v>
      </c>
      <c r="D91" s="695"/>
      <c r="E91" s="695"/>
      <c r="F91" s="695"/>
      <c r="G91" s="675"/>
      <c r="H91" s="675"/>
      <c r="I91" s="675"/>
      <c r="J91" s="266"/>
      <c r="K91" s="268"/>
      <c r="L91" s="16" t="str">
        <f t="shared" si="3"/>
        <v/>
      </c>
    </row>
    <row r="92" spans="3:13" hidden="1" outlineLevel="1" x14ac:dyDescent="0.35">
      <c r="C92" s="232">
        <v>13</v>
      </c>
      <c r="D92" s="695"/>
      <c r="E92" s="695"/>
      <c r="F92" s="695"/>
      <c r="G92" s="675"/>
      <c r="H92" s="675"/>
      <c r="I92" s="675"/>
      <c r="J92" s="266"/>
      <c r="K92" s="268"/>
      <c r="L92" s="16" t="str">
        <f t="shared" si="3"/>
        <v/>
      </c>
    </row>
    <row r="93" spans="3:13" hidden="1" outlineLevel="1" x14ac:dyDescent="0.35">
      <c r="C93" s="232">
        <v>14</v>
      </c>
      <c r="D93" s="695"/>
      <c r="E93" s="695"/>
      <c r="F93" s="695"/>
      <c r="G93" s="675"/>
      <c r="H93" s="675"/>
      <c r="I93" s="675"/>
      <c r="J93" s="266"/>
      <c r="K93" s="268"/>
      <c r="L93" s="16" t="str">
        <f t="shared" si="3"/>
        <v/>
      </c>
    </row>
    <row r="94" spans="3:13" hidden="1" outlineLevel="1" x14ac:dyDescent="0.35">
      <c r="C94" s="232">
        <v>15</v>
      </c>
      <c r="D94" s="695"/>
      <c r="E94" s="695"/>
      <c r="F94" s="695"/>
      <c r="G94" s="675"/>
      <c r="H94" s="675"/>
      <c r="I94" s="675"/>
      <c r="J94" s="266"/>
      <c r="K94" s="268"/>
      <c r="L94" s="16" t="str">
        <f t="shared" si="3"/>
        <v/>
      </c>
    </row>
    <row r="95" spans="3:13" hidden="1" outlineLevel="1" x14ac:dyDescent="0.35">
      <c r="C95" s="232">
        <v>16</v>
      </c>
      <c r="D95" s="695"/>
      <c r="E95" s="695"/>
      <c r="F95" s="695"/>
      <c r="G95" s="675"/>
      <c r="H95" s="675"/>
      <c r="I95" s="675"/>
      <c r="J95" s="266"/>
      <c r="K95" s="268"/>
      <c r="L95" s="16" t="str">
        <f t="shared" si="3"/>
        <v/>
      </c>
    </row>
    <row r="96" spans="3:13" hidden="1" outlineLevel="1" x14ac:dyDescent="0.35">
      <c r="C96" s="232">
        <v>17</v>
      </c>
      <c r="D96" s="695"/>
      <c r="E96" s="695"/>
      <c r="F96" s="695"/>
      <c r="G96" s="675"/>
      <c r="H96" s="675"/>
      <c r="I96" s="675"/>
      <c r="J96" s="266"/>
      <c r="K96" s="268"/>
      <c r="L96" s="16" t="str">
        <f t="shared" si="3"/>
        <v/>
      </c>
    </row>
    <row r="97" spans="3:13" hidden="1" outlineLevel="1" x14ac:dyDescent="0.35">
      <c r="C97" s="232">
        <v>18</v>
      </c>
      <c r="D97" s="695"/>
      <c r="E97" s="695"/>
      <c r="F97" s="695"/>
      <c r="G97" s="675"/>
      <c r="H97" s="675"/>
      <c r="I97" s="675"/>
      <c r="J97" s="266"/>
      <c r="K97" s="268"/>
      <c r="L97" s="16" t="str">
        <f t="shared" si="3"/>
        <v/>
      </c>
    </row>
    <row r="98" spans="3:13" hidden="1" outlineLevel="1" x14ac:dyDescent="0.35">
      <c r="C98" s="232">
        <v>19</v>
      </c>
      <c r="D98" s="695"/>
      <c r="E98" s="695"/>
      <c r="F98" s="695"/>
      <c r="G98" s="675"/>
      <c r="H98" s="675"/>
      <c r="I98" s="675"/>
      <c r="J98" s="266"/>
      <c r="K98" s="268"/>
      <c r="L98" s="16" t="str">
        <f t="shared" si="3"/>
        <v/>
      </c>
    </row>
    <row r="99" spans="3:13" hidden="1" outlineLevel="1" x14ac:dyDescent="0.35">
      <c r="C99" s="232">
        <v>20</v>
      </c>
      <c r="D99" s="695"/>
      <c r="E99" s="695"/>
      <c r="F99" s="695"/>
      <c r="G99" s="675"/>
      <c r="H99" s="675"/>
      <c r="I99" s="675"/>
      <c r="J99" s="266"/>
      <c r="K99" s="268"/>
      <c r="L99" s="16" t="str">
        <f t="shared" si="3"/>
        <v/>
      </c>
    </row>
    <row r="100" spans="3:13" hidden="1" outlineLevel="1" x14ac:dyDescent="0.35">
      <c r="C100" s="232">
        <v>21</v>
      </c>
      <c r="D100" s="695"/>
      <c r="E100" s="695"/>
      <c r="F100" s="695"/>
      <c r="G100" s="675"/>
      <c r="H100" s="675"/>
      <c r="I100" s="675"/>
      <c r="J100" s="266"/>
      <c r="K100" s="268"/>
      <c r="L100" s="16" t="str">
        <f t="shared" si="3"/>
        <v/>
      </c>
    </row>
    <row r="101" spans="3:13" hidden="1" outlineLevel="1" x14ac:dyDescent="0.35">
      <c r="C101" s="232">
        <v>22</v>
      </c>
      <c r="D101" s="695"/>
      <c r="E101" s="695"/>
      <c r="F101" s="695"/>
      <c r="G101" s="675"/>
      <c r="H101" s="675"/>
      <c r="I101" s="675"/>
      <c r="J101" s="266"/>
      <c r="K101" s="268"/>
      <c r="L101" s="16" t="str">
        <f t="shared" si="3"/>
        <v/>
      </c>
    </row>
    <row r="102" spans="3:13" hidden="1" outlineLevel="1" x14ac:dyDescent="0.35">
      <c r="C102" s="232">
        <v>23</v>
      </c>
      <c r="D102" s="695"/>
      <c r="E102" s="695"/>
      <c r="F102" s="695"/>
      <c r="G102" s="675"/>
      <c r="H102" s="675"/>
      <c r="I102" s="675"/>
      <c r="J102" s="266"/>
      <c r="K102" s="268"/>
      <c r="L102" s="16" t="str">
        <f t="shared" si="3"/>
        <v/>
      </c>
    </row>
    <row r="103" spans="3:13" hidden="1" outlineLevel="1" x14ac:dyDescent="0.35">
      <c r="C103" s="232">
        <v>24</v>
      </c>
      <c r="D103" s="695"/>
      <c r="E103" s="695"/>
      <c r="F103" s="695"/>
      <c r="G103" s="675"/>
      <c r="H103" s="675"/>
      <c r="I103" s="675"/>
      <c r="J103" s="266"/>
      <c r="K103" s="268"/>
      <c r="L103" s="16" t="str">
        <f t="shared" si="3"/>
        <v/>
      </c>
    </row>
    <row r="104" spans="3:13" hidden="1" outlineLevel="1" x14ac:dyDescent="0.35">
      <c r="C104" s="232">
        <v>25</v>
      </c>
      <c r="D104" s="695"/>
      <c r="E104" s="695"/>
      <c r="F104" s="695"/>
      <c r="G104" s="675"/>
      <c r="H104" s="675"/>
      <c r="I104" s="675"/>
      <c r="J104" s="266"/>
      <c r="K104" s="268"/>
      <c r="L104" s="16" t="str">
        <f t="shared" si="3"/>
        <v/>
      </c>
    </row>
    <row r="105" spans="3:13" hidden="1" outlineLevel="1" x14ac:dyDescent="0.35">
      <c r="C105" s="232">
        <v>26</v>
      </c>
      <c r="D105" s="695"/>
      <c r="E105" s="695"/>
      <c r="F105" s="695"/>
      <c r="G105" s="675"/>
      <c r="H105" s="675"/>
      <c r="I105" s="675"/>
      <c r="J105" s="266"/>
      <c r="K105" s="268"/>
      <c r="L105" s="16" t="str">
        <f t="shared" si="3"/>
        <v/>
      </c>
    </row>
    <row r="106" spans="3:13" hidden="1" outlineLevel="1" x14ac:dyDescent="0.35">
      <c r="C106" s="232">
        <v>27</v>
      </c>
      <c r="D106" s="695"/>
      <c r="E106" s="695"/>
      <c r="F106" s="695"/>
      <c r="G106" s="675"/>
      <c r="H106" s="675"/>
      <c r="I106" s="675"/>
      <c r="J106" s="266"/>
      <c r="K106" s="268"/>
      <c r="L106" s="16" t="str">
        <f t="shared" si="3"/>
        <v/>
      </c>
    </row>
    <row r="107" spans="3:13" hidden="1" outlineLevel="1" x14ac:dyDescent="0.35">
      <c r="C107" s="232">
        <v>28</v>
      </c>
      <c r="D107" s="695"/>
      <c r="E107" s="695"/>
      <c r="F107" s="695"/>
      <c r="G107" s="675"/>
      <c r="H107" s="675"/>
      <c r="I107" s="675"/>
      <c r="J107" s="266"/>
      <c r="K107" s="268"/>
      <c r="L107" s="16" t="str">
        <f t="shared" si="3"/>
        <v/>
      </c>
    </row>
    <row r="108" spans="3:13" hidden="1" outlineLevel="1" x14ac:dyDescent="0.35">
      <c r="C108" s="232">
        <v>29</v>
      </c>
      <c r="D108" s="695"/>
      <c r="E108" s="695"/>
      <c r="F108" s="695"/>
      <c r="G108" s="675"/>
      <c r="H108" s="675"/>
      <c r="I108" s="675"/>
      <c r="J108" s="266"/>
      <c r="K108" s="268"/>
      <c r="L108" s="16" t="str">
        <f t="shared" si="3"/>
        <v/>
      </c>
      <c r="M108" s="119"/>
    </row>
    <row r="109" spans="3:13" hidden="1" outlineLevel="1" x14ac:dyDescent="0.35">
      <c r="C109" s="232">
        <v>30</v>
      </c>
      <c r="D109" s="695"/>
      <c r="E109" s="695"/>
      <c r="F109" s="695"/>
      <c r="G109" s="675"/>
      <c r="H109" s="675"/>
      <c r="I109" s="675"/>
      <c r="J109" s="266"/>
      <c r="K109" s="268"/>
      <c r="L109" s="16" t="str">
        <f t="shared" si="3"/>
        <v/>
      </c>
    </row>
    <row r="110" spans="3:13" hidden="1" outlineLevel="1" x14ac:dyDescent="0.35">
      <c r="C110" s="232">
        <v>31</v>
      </c>
      <c r="D110" s="695"/>
      <c r="E110" s="695"/>
      <c r="F110" s="695"/>
      <c r="G110" s="675"/>
      <c r="H110" s="675"/>
      <c r="I110" s="675"/>
      <c r="J110" s="266"/>
      <c r="K110" s="268"/>
      <c r="L110" s="16" t="str">
        <f t="shared" si="3"/>
        <v/>
      </c>
    </row>
    <row r="111" spans="3:13" hidden="1" outlineLevel="1" x14ac:dyDescent="0.35">
      <c r="C111" s="232">
        <v>32</v>
      </c>
      <c r="D111" s="695"/>
      <c r="E111" s="695"/>
      <c r="F111" s="695"/>
      <c r="G111" s="675"/>
      <c r="H111" s="675"/>
      <c r="I111" s="675"/>
      <c r="J111" s="266"/>
      <c r="K111" s="268"/>
      <c r="L111" s="16" t="str">
        <f t="shared" si="3"/>
        <v/>
      </c>
    </row>
    <row r="112" spans="3:13" hidden="1" outlineLevel="1" x14ac:dyDescent="0.35">
      <c r="C112" s="232">
        <v>33</v>
      </c>
      <c r="D112" s="695"/>
      <c r="E112" s="695"/>
      <c r="F112" s="695"/>
      <c r="G112" s="675"/>
      <c r="H112" s="675"/>
      <c r="I112" s="675"/>
      <c r="J112" s="266"/>
      <c r="K112" s="268"/>
      <c r="L112" s="16" t="str">
        <f t="shared" si="3"/>
        <v/>
      </c>
    </row>
    <row r="113" spans="3:13" hidden="1" outlineLevel="1" x14ac:dyDescent="0.35">
      <c r="C113" s="232">
        <v>34</v>
      </c>
      <c r="D113" s="695"/>
      <c r="E113" s="695"/>
      <c r="F113" s="695"/>
      <c r="G113" s="675"/>
      <c r="H113" s="675"/>
      <c r="I113" s="675"/>
      <c r="J113" s="266"/>
      <c r="K113" s="268"/>
      <c r="L113" s="16" t="str">
        <f t="shared" si="3"/>
        <v/>
      </c>
    </row>
    <row r="114" spans="3:13" hidden="1" outlineLevel="1" x14ac:dyDescent="0.35">
      <c r="C114" s="232">
        <v>35</v>
      </c>
      <c r="D114" s="695"/>
      <c r="E114" s="695"/>
      <c r="F114" s="695"/>
      <c r="G114" s="675"/>
      <c r="H114" s="675"/>
      <c r="I114" s="675"/>
      <c r="J114" s="266"/>
      <c r="K114" s="268"/>
      <c r="L114" s="16" t="str">
        <f t="shared" si="3"/>
        <v/>
      </c>
    </row>
    <row r="115" spans="3:13" hidden="1" outlineLevel="1" x14ac:dyDescent="0.35">
      <c r="C115" s="232">
        <v>36</v>
      </c>
      <c r="D115" s="695"/>
      <c r="E115" s="695"/>
      <c r="F115" s="695"/>
      <c r="G115" s="675"/>
      <c r="H115" s="675"/>
      <c r="I115" s="675"/>
      <c r="J115" s="266"/>
      <c r="K115" s="268"/>
      <c r="L115" s="16" t="str">
        <f t="shared" si="3"/>
        <v/>
      </c>
    </row>
    <row r="116" spans="3:13" hidden="1" outlineLevel="1" x14ac:dyDescent="0.35">
      <c r="C116" s="232">
        <v>37</v>
      </c>
      <c r="D116" s="695"/>
      <c r="E116" s="695"/>
      <c r="F116" s="695"/>
      <c r="G116" s="675"/>
      <c r="H116" s="675"/>
      <c r="I116" s="675"/>
      <c r="J116" s="266"/>
      <c r="K116" s="268"/>
      <c r="L116" s="16" t="str">
        <f t="shared" si="3"/>
        <v/>
      </c>
    </row>
    <row r="117" spans="3:13" hidden="1" outlineLevel="1" x14ac:dyDescent="0.35">
      <c r="C117" s="232">
        <v>38</v>
      </c>
      <c r="D117" s="695"/>
      <c r="E117" s="695"/>
      <c r="F117" s="695"/>
      <c r="G117" s="675"/>
      <c r="H117" s="675"/>
      <c r="I117" s="675"/>
      <c r="J117" s="266"/>
      <c r="K117" s="268"/>
      <c r="L117" s="16" t="str">
        <f t="shared" si="3"/>
        <v/>
      </c>
    </row>
    <row r="118" spans="3:13" hidden="1" outlineLevel="1" x14ac:dyDescent="0.35">
      <c r="C118" s="232">
        <v>39</v>
      </c>
      <c r="D118" s="695"/>
      <c r="E118" s="695"/>
      <c r="F118" s="695"/>
      <c r="G118" s="675"/>
      <c r="H118" s="675"/>
      <c r="I118" s="675"/>
      <c r="J118" s="266"/>
      <c r="K118" s="268"/>
      <c r="L118" s="16" t="str">
        <f t="shared" si="3"/>
        <v/>
      </c>
    </row>
    <row r="119" spans="3:13" ht="15" hidden="1" outlineLevel="1" thickBot="1" x14ac:dyDescent="0.4">
      <c r="C119" s="232">
        <v>40</v>
      </c>
      <c r="D119" s="695"/>
      <c r="E119" s="695"/>
      <c r="F119" s="695"/>
      <c r="G119" s="882"/>
      <c r="H119" s="882"/>
      <c r="I119" s="882"/>
      <c r="J119" s="269"/>
      <c r="K119" s="273"/>
      <c r="L119" s="16" t="str">
        <f t="shared" si="3"/>
        <v/>
      </c>
    </row>
    <row r="120" spans="3:13" ht="15" collapsed="1" thickBot="1" x14ac:dyDescent="0.4">
      <c r="C120" s="120"/>
      <c r="D120" s="120"/>
      <c r="E120" s="14"/>
      <c r="F120" s="14"/>
      <c r="G120" s="14"/>
      <c r="H120" s="14"/>
      <c r="I120" s="14"/>
      <c r="J120" s="14"/>
      <c r="K120" s="14"/>
    </row>
    <row r="121" spans="3:13" x14ac:dyDescent="0.35">
      <c r="C121" s="803" t="str">
        <f>template_label_b5_sites_in_biodiversity_sensitive_areas&amp;" "&amp;template_label_from&amp;" "&amp;template_starting_date_display&amp;" "&amp;template_label_to&amp;" "&amp;template_ending_date_display&amp;" "&amp;template_label_if_applicable</f>
        <v>B5 - Sites in biodiversity sensitive areas from - to - [If applicable]</v>
      </c>
      <c r="D121" s="803"/>
      <c r="E121" s="803"/>
      <c r="F121" s="803"/>
      <c r="G121" s="803"/>
      <c r="H121" s="803"/>
      <c r="I121" s="803"/>
      <c r="J121" s="803"/>
      <c r="K121" s="804"/>
    </row>
    <row r="122" spans="3:13" x14ac:dyDescent="0.35">
      <c r="C122" s="516">
        <v>33</v>
      </c>
      <c r="D122" s="516"/>
      <c r="E122" s="516"/>
      <c r="F122" s="516"/>
      <c r="G122" s="516"/>
      <c r="H122" s="516"/>
      <c r="I122" s="516"/>
      <c r="J122" s="516"/>
      <c r="K122" s="799"/>
    </row>
    <row r="123" spans="3:13" x14ac:dyDescent="0.35">
      <c r="C123" s="630" t="s">
        <v>5653</v>
      </c>
      <c r="D123" s="630"/>
      <c r="E123" s="630"/>
      <c r="F123" s="630"/>
      <c r="G123" s="630"/>
      <c r="H123" s="630"/>
      <c r="I123" s="630"/>
      <c r="J123" s="630"/>
      <c r="K123" s="805"/>
    </row>
    <row r="124" spans="3:13" x14ac:dyDescent="0.35">
      <c r="C124" s="680" t="str">
        <f>template_label_does_the_undertaking_have_sites_that_are_located_in_or_near_biodiversity_sensitive_areas</f>
        <v>Does the undertaking have sites that are located in or near biodiversity sensitive areas?</v>
      </c>
      <c r="D124" s="681"/>
      <c r="E124" s="681"/>
      <c r="F124" s="681"/>
      <c r="G124" s="914" t="b">
        <v>0</v>
      </c>
      <c r="H124" s="915"/>
      <c r="I124" s="915"/>
      <c r="J124" s="915"/>
      <c r="K124" s="916"/>
    </row>
    <row r="125" spans="3:13" x14ac:dyDescent="0.35">
      <c r="C125" s="800" t="str">
        <f>template_label_please_select_the_unit_used_for_the_area</f>
        <v>Please select the unit used for the area (i.e. either hectares or m²):</v>
      </c>
      <c r="D125" s="801"/>
      <c r="E125" s="801"/>
      <c r="F125" s="801"/>
      <c r="G125" s="801"/>
      <c r="H125" s="801"/>
      <c r="I125" s="801"/>
      <c r="J125" s="801"/>
      <c r="K125" s="802"/>
    </row>
    <row r="126" spans="3:13" ht="15" thickBot="1" x14ac:dyDescent="0.4">
      <c r="C126" s="822"/>
      <c r="D126" s="823"/>
      <c r="E126" s="823"/>
      <c r="F126" s="823"/>
      <c r="G126" s="823"/>
      <c r="H126" s="823"/>
      <c r="I126" s="823"/>
      <c r="J126" s="823"/>
      <c r="K126" s="824"/>
      <c r="L126" s="17" t="str">
        <f>IF(AND(G124=TRUE,C126=""), template_label_missing_value, IF(AND(G124=TRUE,C126&lt;&gt;""), template_label_ok, ""))</f>
        <v/>
      </c>
    </row>
    <row r="127" spans="3:13" ht="57.65" customHeight="1" x14ac:dyDescent="0.35">
      <c r="C127" s="121" t="str">
        <f>template_label_related_site_id</f>
        <v>Related Site ID (select an ID from a site location reported in B1)</v>
      </c>
      <c r="D127" s="806" t="str">
        <f>template_label_site_location_in_near_a_biodiversity_area</f>
        <v>Site Location in near a biodiversity area - auto filled from B1</v>
      </c>
      <c r="E127" s="807"/>
      <c r="F127" s="808"/>
      <c r="G127" s="806" t="str">
        <f>template_label_area_hectares_or_m2</f>
        <v>Area (hectares or m² based on the selection above)</v>
      </c>
      <c r="H127" s="807"/>
      <c r="I127" s="808"/>
      <c r="J127" s="236" t="str">
        <f>template_label_site_located_in_a_biodiversity_sensitive_area</f>
        <v>Site located in a biodiversity sensitive area</v>
      </c>
      <c r="K127" s="237" t="str">
        <f>template_label_site_located_near_a_biodiversity_sensitive_area</f>
        <v>Site located near a biodiversity sensitive area</v>
      </c>
    </row>
    <row r="128" spans="3:13" x14ac:dyDescent="0.35">
      <c r="C128" s="232"/>
      <c r="D128" s="777" t="str">
        <f>IF(C128 = "", "",
IF(AND(COUNTIF('General Information'!C109:C133, C128),
        INDEX('General Information'!D109:D133, MATCH(C128, 'General Information'!C109:C133, 0)) = ""),
   "VALUE INCONSISTENCY",
IFERROR(VLOOKUP(C128, ListOfSitesTable, 5, FALSE),"") &amp; " " &amp;
IFERROR(VLOOKUP(C128, ListOfSitesTable, 4, FALSE),"") &amp; " " &amp;
IFERROR(VLOOKUP(C128, ListOfSitesTable, 2, FALSE),"")))</f>
        <v/>
      </c>
      <c r="E128" s="778"/>
      <c r="F128" s="779"/>
      <c r="G128" s="747"/>
      <c r="H128" s="748"/>
      <c r="I128" s="748"/>
      <c r="J128" s="241" t="b">
        <v>0</v>
      </c>
      <c r="K128" s="239" t="b">
        <v>0</v>
      </c>
      <c r="L128" s="17" t="str">
        <f t="shared" ref="L128:L153" si="4">IF($G$124=FALSE, "",
    IF(AND($G$124=TRUE, TRIM(D128)&lt;&gt;"", TRIM(G128)&lt;&gt;"", OR(J128=TRUE, K128=TRUE)), template_label_ok,
        IF(AND($G$124=TRUE, TRIM(D128)&lt;&gt;"", TRIM(G128)&lt;&gt;"", J128=FALSE, K128=FALSE), template_label_missing_value,
            IF(AND($G$124=TRUE, TRIM(D128)&lt;&gt;"", TRIM(G128)="", J128=FALSE, K128=FALSE), template_label_missing_value,
                IF(AND($G$124=TRUE, TRIM(D128)&lt;&gt;"", TRIM(G128)="", OR(J128=TRUE, K128=TRUE)), template_label_missing_value,
                    IF(AND($G$124=TRUE, TRIM(D128)="", TRIM(G128)&lt;&gt;"", J128=FALSE, K128=FALSE), template_label_missing_value,
                        IF(AND($G$124=TRUE, TRIM(D128)="", TRIM(G128)="", OR(J128=TRUE, K128=TRUE)), template_label_missing_value,
                            IF(AND($G$124=TRUE, TRIM(D128)="", TRIM(G128)&lt;&gt;"", OR(J128=TRUE, K128=TRUE)), template_label_missing_value,
                                ""
                            )
                        )
                    )
                )
            )
        )
    )
)</f>
        <v/>
      </c>
      <c r="M128" t="str">
        <f>template_label_site_ID_value_inconsistency_warning</f>
        <v>ℹ️  If a validation related to value inconsistency is displayed, please select a site ID that is different from one of those previously selected.</v>
      </c>
    </row>
    <row r="129" spans="3:17" x14ac:dyDescent="0.35">
      <c r="C129" s="232"/>
      <c r="D129" s="685" t="str">
        <f>IF(C129 = "", "",
IF(COUNTIF($C$128:C128, C129), "VALUE INCONSISTENCY",
IF(AND(COUNTIF('General Information'!$C$109:$C$133, C129),
       INDEX('General Information'!$D$109:$D$133, MATCH(C129, 'General Information'!$C$109:$C$133, 0)) = ""),
   "VALUE INCONSISTENCY",
IFERROR(VLOOKUP(C129, ListOfSitesTable, 5, FALSE), "") &amp; " " &amp;
IFERROR(VLOOKUP(C129, ListOfSitesTable, 4, FALSE), "") &amp; " " &amp;
IFERROR(VLOOKUP(C129, ListOfSitesTable, 2, FALSE), ""))))</f>
        <v/>
      </c>
      <c r="E129" s="686"/>
      <c r="F129" s="687"/>
      <c r="G129" s="747"/>
      <c r="H129" s="748"/>
      <c r="I129" s="748"/>
      <c r="J129" s="241" t="b">
        <v>0</v>
      </c>
      <c r="K129" s="239" t="b">
        <v>0</v>
      </c>
      <c r="L129" s="17" t="str">
        <f t="shared" si="4"/>
        <v/>
      </c>
    </row>
    <row r="130" spans="3:17" ht="15" thickBot="1" x14ac:dyDescent="0.4">
      <c r="C130" s="234"/>
      <c r="D130" s="767" t="str">
        <f>IF(C130 = "", "",
IF(COUNTIF($C$128:C129, C130), "VALUE INCONSISTENCY",
IF(AND(COUNTIF('General Information'!$C$109:$C$133, C130),
       INDEX('General Information'!$D$109:$D$133, MATCH(C130, 'General Information'!$C$109:$C$133, 0)) = ""),
   "VALUE INCONSISTENCY",
IFERROR(VLOOKUP(C130, ListOfSitesTable, 5, FALSE), "") &amp; " " &amp;
IFERROR(VLOOKUP(C130, ListOfSitesTable, 4, FALSE), "") &amp; " " &amp;
IFERROR(VLOOKUP(C130, ListOfSitesTable, 2, FALSE), ""))))</f>
        <v/>
      </c>
      <c r="E130" s="768"/>
      <c r="F130" s="769"/>
      <c r="G130" s="771"/>
      <c r="H130" s="771"/>
      <c r="I130" s="771"/>
      <c r="J130" s="242" t="b">
        <v>0</v>
      </c>
      <c r="K130" s="240" t="b">
        <v>0</v>
      </c>
      <c r="L130" s="17" t="str">
        <f t="shared" si="4"/>
        <v/>
      </c>
      <c r="M130" t="str">
        <f>template_label_additional_rows_warning</f>
        <v>ℹ️  Lists can be expanded using the little [+] button on the left.  If the number of rows is not sufficient, those can be added by right clicking the second row and selecting "Insert row".</v>
      </c>
    </row>
    <row r="131" spans="3:17" hidden="1" outlineLevel="1" x14ac:dyDescent="0.35">
      <c r="C131" s="233"/>
      <c r="D131" s="682" t="str">
        <f>IF(C131 = "", "",
IF(COUNTIF($C$128:C130, C131), "VALUE INCONSISTENCY",
IF(AND(COUNTIF('General Information'!$C$109:$C$133, C131),
       INDEX('General Information'!$D$109:$D$133, MATCH(C131, 'General Information'!$C$109:$C$133, 0)) = ""),
   "VALUE INCONSISTENCY",
IFERROR(VLOOKUP(C131, ListOfSitesTable, 5, FALSE), "") &amp; " " &amp;
IFERROR(VLOOKUP(C131, ListOfSitesTable, 4, FALSE), "") &amp; " " &amp;
IFERROR(VLOOKUP(C131, ListOfSitesTable, 2, FALSE), ""))))</f>
        <v/>
      </c>
      <c r="E131" s="683"/>
      <c r="F131" s="684"/>
      <c r="G131" s="809"/>
      <c r="H131" s="810"/>
      <c r="I131" s="811"/>
      <c r="J131" s="243" t="b">
        <v>0</v>
      </c>
      <c r="K131" s="238" t="b">
        <v>0</v>
      </c>
      <c r="L131" s="17" t="str">
        <f t="shared" si="4"/>
        <v/>
      </c>
      <c r="M131" s="10"/>
      <c r="N131" s="10"/>
      <c r="O131" s="10"/>
      <c r="P131" s="10"/>
      <c r="Q131" s="10"/>
    </row>
    <row r="132" spans="3:17" hidden="1" outlineLevel="1" x14ac:dyDescent="0.35">
      <c r="C132" s="233"/>
      <c r="D132" s="685" t="str">
        <f>IF(C132 = "", "",
IF(COUNTIF($C$128:C131, C132), "VALUE INCONSISTENCY",
IF(AND(COUNTIF('General Information'!$C$109:$C$133, C132),
       INDEX('General Information'!$D$109:$D$133, MATCH(C132, 'General Information'!$C$109:$C$133, 0)) = ""),
   "VALUE INCONSISTENCY",
IFERROR(VLOOKUP(C132, ListOfSitesTable, 5, FALSE), "") &amp; " " &amp;
IFERROR(VLOOKUP(C132, ListOfSitesTable, 4, FALSE), "") &amp; " " &amp;
IFERROR(VLOOKUP(C132, ListOfSitesTable, 2, FALSE), ""))))</f>
        <v/>
      </c>
      <c r="E132" s="686"/>
      <c r="F132" s="687"/>
      <c r="G132" s="747"/>
      <c r="H132" s="748"/>
      <c r="I132" s="749"/>
      <c r="J132" s="244" t="b">
        <v>0</v>
      </c>
      <c r="K132" s="239" t="b">
        <v>0</v>
      </c>
      <c r="L132" s="17" t="str">
        <f t="shared" si="4"/>
        <v/>
      </c>
      <c r="M132" s="10"/>
      <c r="N132" s="10"/>
      <c r="O132" s="10"/>
      <c r="P132" s="10"/>
      <c r="Q132" s="10"/>
    </row>
    <row r="133" spans="3:17" hidden="1" outlineLevel="1" x14ac:dyDescent="0.35">
      <c r="C133" s="232"/>
      <c r="D133" s="685" t="str">
        <f>IF(C133 = "", "",
IF(COUNTIF($C$128:C132, C133), "VALUE INCONSISTENCY",
IF(AND(COUNTIF('General Information'!$C$109:$C$133, C133),
       INDEX('General Information'!$D$109:$D$133, MATCH(C133, 'General Information'!$C$109:$C$133, 0)) = ""),
   "VALUE INCONSISTENCY",
IFERROR(VLOOKUP(C133, ListOfSitesTable, 5, FALSE), "") &amp; " " &amp;
IFERROR(VLOOKUP(C133, ListOfSitesTable, 4, FALSE), "") &amp; " " &amp;
IFERROR(VLOOKUP(C133, ListOfSitesTable, 2, FALSE), ""))))</f>
        <v/>
      </c>
      <c r="E133" s="686"/>
      <c r="F133" s="687"/>
      <c r="G133" s="747"/>
      <c r="H133" s="748"/>
      <c r="I133" s="749"/>
      <c r="J133" s="244" t="b">
        <v>0</v>
      </c>
      <c r="K133" s="239" t="b">
        <v>0</v>
      </c>
      <c r="L133" s="17" t="str">
        <f t="shared" si="4"/>
        <v/>
      </c>
      <c r="M133" s="10"/>
      <c r="N133" s="10"/>
      <c r="O133" s="10"/>
      <c r="P133" s="10"/>
      <c r="Q133" s="10"/>
    </row>
    <row r="134" spans="3:17" hidden="1" outlineLevel="1" x14ac:dyDescent="0.35">
      <c r="C134" s="232"/>
      <c r="D134" s="685" t="str">
        <f>IF(C134 = "", "",
IF(COUNTIF($C$128:C133, C134), "VALUE INCONSISTENCY",
IF(AND(COUNTIF('General Information'!$C$109:$C$133, C134),
       INDEX('General Information'!$D$109:$D$133, MATCH(C134, 'General Information'!$C$109:$C$133, 0)) = ""),
   "VALUE INCONSISTENCY",
IFERROR(VLOOKUP(C134, ListOfSitesTable, 5, FALSE), "") &amp; " " &amp;
IFERROR(VLOOKUP(C134, ListOfSitesTable, 4, FALSE), "") &amp; " " &amp;
IFERROR(VLOOKUP(C134, ListOfSitesTable, 2, FALSE), ""))))</f>
        <v/>
      </c>
      <c r="E134" s="686"/>
      <c r="F134" s="687"/>
      <c r="G134" s="747"/>
      <c r="H134" s="748"/>
      <c r="I134" s="749"/>
      <c r="J134" s="244" t="b">
        <v>0</v>
      </c>
      <c r="K134" s="239" t="b">
        <v>0</v>
      </c>
      <c r="L134" s="17" t="str">
        <f t="shared" si="4"/>
        <v/>
      </c>
      <c r="M134" s="10"/>
      <c r="N134" s="10"/>
      <c r="O134" s="10"/>
      <c r="P134" s="10"/>
      <c r="Q134" s="10"/>
    </row>
    <row r="135" spans="3:17" hidden="1" outlineLevel="1" x14ac:dyDescent="0.35">
      <c r="C135" s="232"/>
      <c r="D135" s="685" t="str">
        <f>IF(C135 = "", "",
IF(COUNTIF($C$128:C134, C135), "VALUE INCONSISTENCY",
IF(AND(COUNTIF('General Information'!$C$109:$C$133, C135),
       INDEX('General Information'!$D$109:$D$133, MATCH(C135, 'General Information'!$C$109:$C$133, 0)) = ""),
   "VALUE INCONSISTENCY",
IFERROR(VLOOKUP(C135, ListOfSitesTable, 5, FALSE), "") &amp; " " &amp;
IFERROR(VLOOKUP(C135, ListOfSitesTable, 4, FALSE), "") &amp; " " &amp;
IFERROR(VLOOKUP(C135, ListOfSitesTable, 2, FALSE), ""))))</f>
        <v/>
      </c>
      <c r="E135" s="686"/>
      <c r="F135" s="687"/>
      <c r="G135" s="747"/>
      <c r="H135" s="748"/>
      <c r="I135" s="749"/>
      <c r="J135" s="244" t="b">
        <v>0</v>
      </c>
      <c r="K135" s="239" t="b">
        <v>0</v>
      </c>
      <c r="L135" s="17" t="str">
        <f t="shared" si="4"/>
        <v/>
      </c>
      <c r="M135" s="10"/>
      <c r="N135" s="10"/>
      <c r="O135" s="10"/>
      <c r="P135" s="10"/>
      <c r="Q135" s="10"/>
    </row>
    <row r="136" spans="3:17" hidden="1" outlineLevel="1" x14ac:dyDescent="0.35">
      <c r="C136" s="232"/>
      <c r="D136" s="685" t="str">
        <f>IF(C136 = "", "",
IF(COUNTIF($C$128:C135, C136), "VALUE INCONSISTENCY",
IF(AND(COUNTIF('General Information'!$C$109:$C$133, C136),
       INDEX('General Information'!$D$109:$D$133, MATCH(C136, 'General Information'!$C$109:$C$133, 0)) = ""),
   "VALUE INCONSISTENCY",
IFERROR(VLOOKUP(C136, ListOfSitesTable, 5, FALSE), "") &amp; " " &amp;
IFERROR(VLOOKUP(C136, ListOfSitesTable, 4, FALSE), "") &amp; " " &amp;
IFERROR(VLOOKUP(C136, ListOfSitesTable, 2, FALSE), ""))))</f>
        <v/>
      </c>
      <c r="E136" s="686"/>
      <c r="F136" s="687"/>
      <c r="G136" s="747"/>
      <c r="H136" s="748"/>
      <c r="I136" s="749"/>
      <c r="J136" s="244" t="b">
        <v>0</v>
      </c>
      <c r="K136" s="239" t="b">
        <v>0</v>
      </c>
      <c r="L136" s="17" t="str">
        <f t="shared" si="4"/>
        <v/>
      </c>
      <c r="M136" s="10"/>
      <c r="N136" s="10"/>
      <c r="O136" s="10"/>
      <c r="P136" s="10"/>
      <c r="Q136" s="10"/>
    </row>
    <row r="137" spans="3:17" hidden="1" outlineLevel="1" x14ac:dyDescent="0.35">
      <c r="C137" s="232"/>
      <c r="D137" s="685" t="str">
        <f>IF(C137 = "", "",
IF(COUNTIF($C$128:C136, C137), "VALUE INCONSISTENCY",
IF(AND(COUNTIF('General Information'!$C$109:$C$133, C137),
       INDEX('General Information'!$D$109:$D$133, MATCH(C137, 'General Information'!$C$109:$C$133, 0)) = ""),
   "VALUE INCONSISTENCY",
IFERROR(VLOOKUP(C137, ListOfSitesTable, 5, FALSE), "") &amp; " " &amp;
IFERROR(VLOOKUP(C137, ListOfSitesTable, 4, FALSE), "") &amp; " " &amp;
IFERROR(VLOOKUP(C137, ListOfSitesTable, 2, FALSE), ""))))</f>
        <v/>
      </c>
      <c r="E137" s="686"/>
      <c r="F137" s="687"/>
      <c r="G137" s="747"/>
      <c r="H137" s="748"/>
      <c r="I137" s="749"/>
      <c r="J137" s="244" t="b">
        <v>0</v>
      </c>
      <c r="K137" s="239" t="b">
        <v>0</v>
      </c>
      <c r="L137" s="17" t="str">
        <f t="shared" si="4"/>
        <v/>
      </c>
      <c r="M137" s="10"/>
      <c r="N137" s="10"/>
      <c r="O137" s="10"/>
      <c r="P137" s="10"/>
      <c r="Q137" s="10"/>
    </row>
    <row r="138" spans="3:17" hidden="1" outlineLevel="1" x14ac:dyDescent="0.35">
      <c r="C138" s="232"/>
      <c r="D138" s="685" t="str">
        <f>IF(C138 = "", "",
IF(COUNTIF($C$128:C137, C138), "VALUE INCONSISTENCY",
IF(AND(COUNTIF('General Information'!$C$109:$C$133, C138),
       INDEX('General Information'!$D$109:$D$133, MATCH(C138, 'General Information'!$C$109:$C$133, 0)) = ""),
   "VALUE INCONSISTENCY",
IFERROR(VLOOKUP(C138, ListOfSitesTable, 5, FALSE), "") &amp; " " &amp;
IFERROR(VLOOKUP(C138, ListOfSitesTable, 4, FALSE), "") &amp; " " &amp;
IFERROR(VLOOKUP(C138, ListOfSitesTable, 2, FALSE), ""))))</f>
        <v/>
      </c>
      <c r="E138" s="686"/>
      <c r="F138" s="687"/>
      <c r="G138" s="747"/>
      <c r="H138" s="748"/>
      <c r="I138" s="749"/>
      <c r="J138" s="244" t="b">
        <v>0</v>
      </c>
      <c r="K138" s="239" t="b">
        <v>0</v>
      </c>
      <c r="L138" s="17" t="str">
        <f t="shared" si="4"/>
        <v/>
      </c>
      <c r="M138" s="10"/>
      <c r="N138" s="10"/>
      <c r="O138" s="10"/>
      <c r="P138" s="10"/>
      <c r="Q138" s="10"/>
    </row>
    <row r="139" spans="3:17" hidden="1" outlineLevel="1" x14ac:dyDescent="0.35">
      <c r="C139" s="232"/>
      <c r="D139" s="685" t="str">
        <f>IF(C139 = "", "",
IF(COUNTIF($C$128:C138, C139), "VALUE INCONSISTENCY",
IF(AND(COUNTIF('General Information'!$C$109:$C$133, C139),
       INDEX('General Information'!$D$109:$D$133, MATCH(C139, 'General Information'!$C$109:$C$133, 0)) = ""),
   "VALUE INCONSISTENCY",
IFERROR(VLOOKUP(C139, ListOfSitesTable, 5, FALSE), "") &amp; " " &amp;
IFERROR(VLOOKUP(C139, ListOfSitesTable, 4, FALSE), "") &amp; " " &amp;
IFERROR(VLOOKUP(C139, ListOfSitesTable, 2, FALSE), ""))))</f>
        <v/>
      </c>
      <c r="E139" s="686"/>
      <c r="F139" s="687"/>
      <c r="G139" s="747"/>
      <c r="H139" s="748"/>
      <c r="I139" s="749"/>
      <c r="J139" s="244" t="b">
        <v>0</v>
      </c>
      <c r="K139" s="239" t="b">
        <v>0</v>
      </c>
      <c r="L139" s="17" t="str">
        <f t="shared" si="4"/>
        <v/>
      </c>
      <c r="M139" s="10"/>
      <c r="N139" s="10"/>
      <c r="O139" s="10"/>
      <c r="P139" s="10"/>
      <c r="Q139" s="10"/>
    </row>
    <row r="140" spans="3:17" hidden="1" outlineLevel="1" x14ac:dyDescent="0.35">
      <c r="C140" s="232"/>
      <c r="D140" s="685" t="str">
        <f>IF(C140 = "", "",
IF(COUNTIF($C$128:C139, C140), "VALUE INCONSISTENCY",
IF(AND(COUNTIF('General Information'!$C$109:$C$133, C140),
       INDEX('General Information'!$D$109:$D$133, MATCH(C140, 'General Information'!$C$109:$C$133, 0)) = ""),
   "VALUE INCONSISTENCY",
IFERROR(VLOOKUP(C140, ListOfSitesTable, 5, FALSE), "") &amp; " " &amp;
IFERROR(VLOOKUP(C140, ListOfSitesTable, 4, FALSE), "") &amp; " " &amp;
IFERROR(VLOOKUP(C140, ListOfSitesTable, 2, FALSE), ""))))</f>
        <v/>
      </c>
      <c r="E140" s="686"/>
      <c r="F140" s="687"/>
      <c r="G140" s="747"/>
      <c r="H140" s="748"/>
      <c r="I140" s="749"/>
      <c r="J140" s="244" t="b">
        <v>0</v>
      </c>
      <c r="K140" s="239" t="b">
        <v>0</v>
      </c>
      <c r="L140" s="17" t="str">
        <f t="shared" si="4"/>
        <v/>
      </c>
      <c r="M140" s="10"/>
      <c r="N140" s="10"/>
      <c r="O140" s="10"/>
      <c r="P140" s="10"/>
      <c r="Q140" s="10"/>
    </row>
    <row r="141" spans="3:17" hidden="1" outlineLevel="1" x14ac:dyDescent="0.35">
      <c r="C141" s="232"/>
      <c r="D141" s="685" t="str">
        <f>IF(C141 = "", "",
IF(COUNTIF($C$128:C140, C141), "VALUE INCONSISTENCY",
IF(AND(COUNTIF('General Information'!$C$109:$C$133, C141),
       INDEX('General Information'!$D$109:$D$133, MATCH(C141, 'General Information'!$C$109:$C$133, 0)) = ""),
   "VALUE INCONSISTENCY",
IFERROR(VLOOKUP(C141, ListOfSitesTable, 5, FALSE), "") &amp; " " &amp;
IFERROR(VLOOKUP(C141, ListOfSitesTable, 4, FALSE), "") &amp; " " &amp;
IFERROR(VLOOKUP(C141, ListOfSitesTable, 2, FALSE), ""))))</f>
        <v/>
      </c>
      <c r="E141" s="686"/>
      <c r="F141" s="687"/>
      <c r="G141" s="747"/>
      <c r="H141" s="748"/>
      <c r="I141" s="749"/>
      <c r="J141" s="244" t="b">
        <v>0</v>
      </c>
      <c r="K141" s="239" t="b">
        <v>0</v>
      </c>
      <c r="L141" s="17" t="str">
        <f t="shared" si="4"/>
        <v/>
      </c>
      <c r="M141" s="10"/>
      <c r="N141" s="10"/>
      <c r="O141" s="10"/>
      <c r="P141" s="10"/>
      <c r="Q141" s="10"/>
    </row>
    <row r="142" spans="3:17" hidden="1" outlineLevel="1" x14ac:dyDescent="0.35">
      <c r="C142" s="232"/>
      <c r="D142" s="685" t="str">
        <f>IF(C142 = "", "",
IF(COUNTIF($C$128:C141, C142), "VALUE INCONSISTENCY",
IF(AND(COUNTIF('General Information'!$C$109:$C$133, C142),
       INDEX('General Information'!$D$109:$D$133, MATCH(C142, 'General Information'!$C$109:$C$133, 0)) = ""),
   "VALUE INCONSISTENCY",
IFERROR(VLOOKUP(C142, ListOfSitesTable, 5, FALSE), "") &amp; " " &amp;
IFERROR(VLOOKUP(C142, ListOfSitesTable, 4, FALSE), "") &amp; " " &amp;
IFERROR(VLOOKUP(C142, ListOfSitesTable, 2, FALSE), ""))))</f>
        <v/>
      </c>
      <c r="E142" s="686"/>
      <c r="F142" s="687"/>
      <c r="G142" s="747"/>
      <c r="H142" s="748"/>
      <c r="I142" s="749"/>
      <c r="J142" s="244" t="b">
        <v>0</v>
      </c>
      <c r="K142" s="239" t="b">
        <v>0</v>
      </c>
      <c r="L142" s="17" t="str">
        <f t="shared" si="4"/>
        <v/>
      </c>
      <c r="M142" s="10"/>
      <c r="N142" s="10"/>
      <c r="O142" s="10"/>
      <c r="P142" s="10"/>
      <c r="Q142" s="10"/>
    </row>
    <row r="143" spans="3:17" hidden="1" outlineLevel="1" x14ac:dyDescent="0.35">
      <c r="C143" s="232"/>
      <c r="D143" s="685" t="str">
        <f>IF(C143 = "", "",
IF(COUNTIF($C$128:C142, C143), "VALUE INCONSISTENCY",
IF(AND(COUNTIF('General Information'!$C$109:$C$133, C143),
       INDEX('General Information'!$D$109:$D$133, MATCH(C143, 'General Information'!$C$109:$C$133, 0)) = ""),
   "VALUE INCONSISTENCY",
IFERROR(VLOOKUP(C143, ListOfSitesTable, 5, FALSE), "") &amp; " " &amp;
IFERROR(VLOOKUP(C143, ListOfSitesTable, 4, FALSE), "") &amp; " " &amp;
IFERROR(VLOOKUP(C143, ListOfSitesTable, 2, FALSE), ""))))</f>
        <v/>
      </c>
      <c r="E143" s="686"/>
      <c r="F143" s="687"/>
      <c r="G143" s="747"/>
      <c r="H143" s="748"/>
      <c r="I143" s="749"/>
      <c r="J143" s="244" t="b">
        <v>0</v>
      </c>
      <c r="K143" s="239" t="b">
        <v>0</v>
      </c>
      <c r="L143" s="17" t="str">
        <f t="shared" si="4"/>
        <v/>
      </c>
      <c r="M143" s="10"/>
      <c r="N143" s="10"/>
      <c r="O143" s="10"/>
      <c r="P143" s="10"/>
      <c r="Q143" s="10"/>
    </row>
    <row r="144" spans="3:17" hidden="1" outlineLevel="1" x14ac:dyDescent="0.35">
      <c r="C144" s="232"/>
      <c r="D144" s="685" t="str">
        <f>IF(C144 = "", "",
IF(COUNTIF($C$128:C143, C144), "VALUE INCONSISTENCY",
IF(AND(COUNTIF('General Information'!$C$109:$C$133, C144),
       INDEX('General Information'!$D$109:$D$133, MATCH(C144, 'General Information'!$C$109:$C$133, 0)) = ""),
   "VALUE INCONSISTENCY",
IFERROR(VLOOKUP(C144, ListOfSitesTable, 5, FALSE), "") &amp; " " &amp;
IFERROR(VLOOKUP(C144, ListOfSitesTable, 4, FALSE), "") &amp; " " &amp;
IFERROR(VLOOKUP(C144, ListOfSitesTable, 2, FALSE), ""))))</f>
        <v/>
      </c>
      <c r="E144" s="686"/>
      <c r="F144" s="687"/>
      <c r="G144" s="747"/>
      <c r="H144" s="748"/>
      <c r="I144" s="749"/>
      <c r="J144" s="244" t="b">
        <v>0</v>
      </c>
      <c r="K144" s="239" t="b">
        <v>0</v>
      </c>
      <c r="L144" s="17" t="str">
        <f t="shared" si="4"/>
        <v/>
      </c>
      <c r="M144" s="10"/>
      <c r="N144" s="10"/>
      <c r="O144" s="10"/>
      <c r="P144" s="10"/>
      <c r="Q144" s="10"/>
    </row>
    <row r="145" spans="3:17" hidden="1" outlineLevel="1" x14ac:dyDescent="0.35">
      <c r="C145" s="232"/>
      <c r="D145" s="685" t="str">
        <f>IF(C145 = "", "",
IF(COUNTIF($C$128:C144, C145), "VALUE INCONSISTENCY",
IF(AND(COUNTIF('General Information'!$C$109:$C$133, C145),
       INDEX('General Information'!$D$109:$D$133, MATCH(C145, 'General Information'!$C$109:$C$133, 0)) = ""),
   "VALUE INCONSISTENCY",
IFERROR(VLOOKUP(C145, ListOfSitesTable, 5, FALSE), "") &amp; " " &amp;
IFERROR(VLOOKUP(C145, ListOfSitesTable, 4, FALSE), "") &amp; " " &amp;
IFERROR(VLOOKUP(C145, ListOfSitesTable, 2, FALSE), ""))))</f>
        <v/>
      </c>
      <c r="E145" s="686"/>
      <c r="F145" s="687"/>
      <c r="G145" s="747"/>
      <c r="H145" s="748"/>
      <c r="I145" s="749"/>
      <c r="J145" s="244" t="b">
        <v>0</v>
      </c>
      <c r="K145" s="239" t="b">
        <v>0</v>
      </c>
      <c r="L145" s="17" t="str">
        <f t="shared" si="4"/>
        <v/>
      </c>
      <c r="M145" s="10"/>
      <c r="N145" s="10"/>
      <c r="O145" s="10"/>
      <c r="P145" s="10"/>
      <c r="Q145" s="10"/>
    </row>
    <row r="146" spans="3:17" hidden="1" outlineLevel="1" x14ac:dyDescent="0.35">
      <c r="C146" s="232"/>
      <c r="D146" s="685" t="str">
        <f>IF(C146 = "", "",
IF(COUNTIF($C$128:C145, C146), "VALUE INCONSISTENCY",
IF(AND(COUNTIF('General Information'!$C$109:$C$133, C146),
       INDEX('General Information'!$D$109:$D$133, MATCH(C146, 'General Information'!$C$109:$C$133, 0)) = ""),
   "VALUE INCONSISTENCY",
IFERROR(VLOOKUP(C146, ListOfSitesTable, 5, FALSE), "") &amp; " " &amp;
IFERROR(VLOOKUP(C146, ListOfSitesTable, 4, FALSE), "") &amp; " " &amp;
IFERROR(VLOOKUP(C146, ListOfSitesTable, 2, FALSE), ""))))</f>
        <v/>
      </c>
      <c r="E146" s="686"/>
      <c r="F146" s="687"/>
      <c r="G146" s="747"/>
      <c r="H146" s="748"/>
      <c r="I146" s="749"/>
      <c r="J146" s="244" t="b">
        <v>0</v>
      </c>
      <c r="K146" s="239" t="b">
        <v>0</v>
      </c>
      <c r="L146" s="17" t="str">
        <f t="shared" si="4"/>
        <v/>
      </c>
      <c r="M146" s="10"/>
      <c r="N146" s="10"/>
      <c r="O146" s="10"/>
      <c r="P146" s="10"/>
      <c r="Q146" s="10"/>
    </row>
    <row r="147" spans="3:17" hidden="1" outlineLevel="1" x14ac:dyDescent="0.35">
      <c r="C147" s="232"/>
      <c r="D147" s="685" t="str">
        <f>IF(C147 = "", "",
IF(COUNTIF($C$128:C146, C147), "VALUE INCONSISTENCY",
IF(AND(COUNTIF('General Information'!$C$109:$C$133, C147),
       INDEX('General Information'!$D$109:$D$133, MATCH(C147, 'General Information'!$C$109:$C$133, 0)) = ""),
   "VALUE INCONSISTENCY",
IFERROR(VLOOKUP(C147, ListOfSitesTable, 5, FALSE), "") &amp; " " &amp;
IFERROR(VLOOKUP(C147, ListOfSitesTable, 4, FALSE), "") &amp; " " &amp;
IFERROR(VLOOKUP(C147, ListOfSitesTable, 2, FALSE), ""))))</f>
        <v/>
      </c>
      <c r="E147" s="686"/>
      <c r="F147" s="687"/>
      <c r="G147" s="747"/>
      <c r="H147" s="748"/>
      <c r="I147" s="749"/>
      <c r="J147" s="244" t="b">
        <v>0</v>
      </c>
      <c r="K147" s="239" t="b">
        <v>0</v>
      </c>
      <c r="L147" s="17" t="str">
        <f t="shared" si="4"/>
        <v/>
      </c>
      <c r="M147" s="10"/>
      <c r="N147" s="10"/>
      <c r="O147" s="10"/>
      <c r="P147" s="10"/>
      <c r="Q147" s="10"/>
    </row>
    <row r="148" spans="3:17" hidden="1" outlineLevel="1" x14ac:dyDescent="0.35">
      <c r="C148" s="232"/>
      <c r="D148" s="685" t="str">
        <f>IF(C148 = "", "",
IF(COUNTIF($C$128:C147, C148), "VALUE INCONSISTENCY",
IF(AND(COUNTIF('General Information'!$C$109:$C$133, C148),
       INDEX('General Information'!$D$109:$D$133, MATCH(C148, 'General Information'!$C$109:$C$133, 0)) = ""),
   "VALUE INCONSISTENCY",
IFERROR(VLOOKUP(C148, ListOfSitesTable, 5, FALSE), "") &amp; " " &amp;
IFERROR(VLOOKUP(C148, ListOfSitesTable, 4, FALSE), "") &amp; " " &amp;
IFERROR(VLOOKUP(C148, ListOfSitesTable, 2, FALSE), ""))))</f>
        <v/>
      </c>
      <c r="E148" s="686"/>
      <c r="F148" s="687"/>
      <c r="G148" s="747"/>
      <c r="H148" s="748"/>
      <c r="I148" s="749"/>
      <c r="J148" s="244" t="b">
        <v>0</v>
      </c>
      <c r="K148" s="239" t="b">
        <v>0</v>
      </c>
      <c r="L148" s="17" t="str">
        <f t="shared" si="4"/>
        <v/>
      </c>
      <c r="M148" s="10"/>
      <c r="N148" s="10"/>
      <c r="O148" s="10"/>
      <c r="P148" s="10"/>
      <c r="Q148" s="10"/>
    </row>
    <row r="149" spans="3:17" hidden="1" outlineLevel="1" x14ac:dyDescent="0.35">
      <c r="C149" s="232"/>
      <c r="D149" s="685" t="str">
        <f>IF(C149 = "", "",
IF(COUNTIF($C$128:C148, C149), "VALUE INCONSISTENCY",
IF(AND(COUNTIF('General Information'!$C$109:$C$133, C149),
       INDEX('General Information'!$D$109:$D$133, MATCH(C149, 'General Information'!$C$109:$C$133, 0)) = ""),
   "VALUE INCONSISTENCY",
IFERROR(VLOOKUP(C149, ListOfSitesTable, 5, FALSE), "") &amp; " " &amp;
IFERROR(VLOOKUP(C149, ListOfSitesTable, 4, FALSE), "") &amp; " " &amp;
IFERROR(VLOOKUP(C149, ListOfSitesTable, 2, FALSE), ""))))</f>
        <v/>
      </c>
      <c r="E149" s="686"/>
      <c r="F149" s="687"/>
      <c r="G149" s="747"/>
      <c r="H149" s="748"/>
      <c r="I149" s="749"/>
      <c r="J149" s="244" t="b">
        <v>0</v>
      </c>
      <c r="K149" s="239" t="b">
        <v>0</v>
      </c>
      <c r="L149" s="17" t="str">
        <f t="shared" si="4"/>
        <v/>
      </c>
      <c r="M149" s="10"/>
      <c r="N149" s="10"/>
      <c r="O149" s="10"/>
      <c r="P149" s="10"/>
      <c r="Q149" s="10"/>
    </row>
    <row r="150" spans="3:17" hidden="1" outlineLevel="1" x14ac:dyDescent="0.35">
      <c r="C150" s="232"/>
      <c r="D150" s="685" t="str">
        <f>IF(C150 = "", "",
IF(COUNTIF($C$128:C149, C150), "VALUE INCONSISTENCY",
IF(AND(COUNTIF('General Information'!$C$109:$C$133, C150),
       INDEX('General Information'!$D$109:$D$133, MATCH(C150, 'General Information'!$C$109:$C$133, 0)) = ""),
   "VALUE INCONSISTENCY",
IFERROR(VLOOKUP(C150, ListOfSitesTable, 5, FALSE), "") &amp; " " &amp;
IFERROR(VLOOKUP(C150, ListOfSitesTable, 4, FALSE), "") &amp; " " &amp;
IFERROR(VLOOKUP(C150, ListOfSitesTable, 2, FALSE), ""))))</f>
        <v/>
      </c>
      <c r="E150" s="686"/>
      <c r="F150" s="687"/>
      <c r="G150" s="747"/>
      <c r="H150" s="748"/>
      <c r="I150" s="749"/>
      <c r="J150" s="244" t="b">
        <v>0</v>
      </c>
      <c r="K150" s="239" t="b">
        <v>0</v>
      </c>
      <c r="L150" s="17" t="str">
        <f t="shared" si="4"/>
        <v/>
      </c>
      <c r="M150" s="10"/>
      <c r="N150" s="10"/>
      <c r="O150" s="10"/>
      <c r="P150" s="10"/>
      <c r="Q150" s="10"/>
    </row>
    <row r="151" spans="3:17" hidden="1" outlineLevel="1" x14ac:dyDescent="0.35">
      <c r="C151" s="232"/>
      <c r="D151" s="685" t="str">
        <f>IF(C151 = "", "",
IF(COUNTIF($C$128:C150, C151), "VALUE INCONSISTENCY",
IF(AND(COUNTIF('General Information'!$C$109:$C$133, C151),
       INDEX('General Information'!$D$109:$D$133, MATCH(C151, 'General Information'!$C$109:$C$133, 0)) = ""),
   "VALUE INCONSISTENCY",
IFERROR(VLOOKUP(C151, ListOfSitesTable, 5, FALSE), "") &amp; " " &amp;
IFERROR(VLOOKUP(C151, ListOfSitesTable, 4, FALSE), "") &amp; " " &amp;
IFERROR(VLOOKUP(C151, ListOfSitesTable, 2, FALSE), ""))))</f>
        <v/>
      </c>
      <c r="E151" s="686"/>
      <c r="F151" s="687"/>
      <c r="G151" s="747"/>
      <c r="H151" s="748"/>
      <c r="I151" s="749"/>
      <c r="J151" s="244" t="b">
        <v>0</v>
      </c>
      <c r="K151" s="239" t="b">
        <v>0</v>
      </c>
      <c r="L151" s="17" t="str">
        <f t="shared" si="4"/>
        <v/>
      </c>
      <c r="M151" s="10"/>
      <c r="N151" s="10"/>
      <c r="O151" s="10"/>
      <c r="P151" s="10"/>
      <c r="Q151" s="10"/>
    </row>
    <row r="152" spans="3:17" hidden="1" outlineLevel="1" x14ac:dyDescent="0.35">
      <c r="C152" s="232"/>
      <c r="D152" s="685" t="str">
        <f>IF(C152 = "", "",
IF(COUNTIF($C$128:C151, C152), "VALUE INCONSISTENCY",
IF(AND(COUNTIF('General Information'!$C$109:$C$133, C152),
       INDEX('General Information'!$D$109:$D$133, MATCH(C152, 'General Information'!$C$109:$C$133, 0)) = ""),
   "VALUE INCONSISTENCY",
IFERROR(VLOOKUP(C152, ListOfSitesTable, 5, FALSE), "") &amp; " " &amp;
IFERROR(VLOOKUP(C152, ListOfSitesTable, 4, FALSE), "") &amp; " " &amp;
IFERROR(VLOOKUP(C152, ListOfSitesTable, 2, FALSE), ""))))</f>
        <v/>
      </c>
      <c r="E152" s="686"/>
      <c r="F152" s="687"/>
      <c r="G152" s="888"/>
      <c r="H152" s="748"/>
      <c r="I152" s="749"/>
      <c r="J152" s="244" t="b">
        <v>0</v>
      </c>
      <c r="K152" s="239" t="b">
        <v>0</v>
      </c>
      <c r="L152" s="17" t="str">
        <f t="shared" si="4"/>
        <v/>
      </c>
      <c r="M152" s="10"/>
      <c r="N152" s="10"/>
      <c r="O152" s="10"/>
      <c r="P152" s="10"/>
      <c r="Q152" s="10"/>
    </row>
    <row r="153" spans="3:17" ht="15" hidden="1" outlineLevel="1" thickBot="1" x14ac:dyDescent="0.4">
      <c r="C153" s="235"/>
      <c r="D153" s="685" t="str">
        <f>IF(C153 = "", "",
IF(COUNTIF($C$128:C152, C153), "VALUE INCONSISTENCY",
IF(AND(COUNTIF('General Information'!$C$109:$C$133, C153),
       INDEX('General Information'!$D$109:$D$133, MATCH(C153, 'General Information'!$C$109:$C$133, 0)) = ""),
   "VALUE INCONSISTENCY",
IFERROR(VLOOKUP(C153, ListOfSitesTable, 5, FALSE), "") &amp; " " &amp;
IFERROR(VLOOKUP(C153, ListOfSitesTable, 4, FALSE), "") &amp; " " &amp;
IFERROR(VLOOKUP(C153, ListOfSitesTable, 2, FALSE), ""))))</f>
        <v/>
      </c>
      <c r="E153" s="686"/>
      <c r="F153" s="687"/>
      <c r="G153" s="770"/>
      <c r="H153" s="771"/>
      <c r="I153" s="772"/>
      <c r="J153" s="245" t="b">
        <v>0</v>
      </c>
      <c r="K153" s="240" t="b">
        <v>0</v>
      </c>
      <c r="L153" s="17" t="str">
        <f t="shared" si="4"/>
        <v/>
      </c>
      <c r="M153" s="10"/>
      <c r="N153" s="10"/>
      <c r="O153" s="10"/>
      <c r="P153" s="10"/>
      <c r="Q153" s="10"/>
    </row>
    <row r="154" spans="3:17" ht="15" collapsed="1" thickBot="1" x14ac:dyDescent="0.4">
      <c r="D154" s="14"/>
      <c r="E154" s="14"/>
      <c r="F154" s="14"/>
      <c r="H154" s="14"/>
      <c r="I154" s="14"/>
      <c r="J154" s="14"/>
    </row>
    <row r="155" spans="3:17" x14ac:dyDescent="0.35">
      <c r="C155" s="711" t="str">
        <f>template_label_b5_biodiversity_land_use&amp;" "&amp;template_label_from&amp;" "&amp;template_starting_date_display&amp;" "&amp;template_label_to&amp;" "&amp;template_ending_date_display&amp;" " &amp; template_label_may</f>
        <v>B5 - Biodiversity - Land-use from - to - [May (optional)]</v>
      </c>
      <c r="D155" s="712"/>
      <c r="E155" s="712"/>
      <c r="F155" s="713"/>
    </row>
    <row r="156" spans="3:17" x14ac:dyDescent="0.35">
      <c r="C156" s="714">
        <v>34</v>
      </c>
      <c r="D156" s="715"/>
      <c r="E156" s="715"/>
      <c r="F156" s="716"/>
    </row>
    <row r="157" spans="3:17" x14ac:dyDescent="0.35">
      <c r="C157" s="739" t="s">
        <v>5654</v>
      </c>
      <c r="D157" s="740"/>
      <c r="E157" s="740"/>
      <c r="F157" s="746"/>
    </row>
    <row r="158" spans="3:17" ht="17" customHeight="1" x14ac:dyDescent="0.35">
      <c r="C158" s="773" t="str">
        <f>template_label_please_select_the_unit_used_for_the_area</f>
        <v>Please select the unit used for the area (i.e. either hectares or m²):</v>
      </c>
      <c r="D158" s="774"/>
      <c r="E158" s="774"/>
      <c r="F158" s="775"/>
    </row>
    <row r="159" spans="3:17" x14ac:dyDescent="0.35">
      <c r="C159" s="776"/>
      <c r="D159" s="616"/>
      <c r="E159" s="616"/>
      <c r="F159" s="617"/>
      <c r="G159" s="16" t="str">
        <f>IF(C159&lt;&gt;"", template_label_ok, IF(AND(OR(D161&lt;&gt;"", D162&lt;&gt;"", D163&lt;&gt;"", D164&lt;&gt;""), C159=""), template_label_missing_value, ""))</f>
        <v/>
      </c>
      <c r="H159" s="123"/>
      <c r="K159" s="16"/>
    </row>
    <row r="160" spans="3:17" x14ac:dyDescent="0.35">
      <c r="C160" s="124" t="str">
        <f>template_label_land_use_type</f>
        <v>Land-use type</v>
      </c>
      <c r="D160" s="774" t="str">
        <f>template_label_area</f>
        <v>Area</v>
      </c>
      <c r="E160" s="774"/>
      <c r="F160" s="775"/>
      <c r="G160" s="16"/>
      <c r="H160" s="123"/>
      <c r="K160" s="16"/>
    </row>
    <row r="161" spans="3:12" x14ac:dyDescent="0.35">
      <c r="C161" s="127" t="str">
        <f>template_label_total_sealed_area</f>
        <v>Total sealed area</v>
      </c>
      <c r="D161" s="744"/>
      <c r="E161" s="744"/>
      <c r="F161" s="745"/>
      <c r="G161" s="676" t="str">
        <f>IF(AND(G159=template_label_ok, COUNTIF(D161:F164,"&lt;&gt;")&gt;0),
    template_label_ok,
    IF(AND(G159=template_label_ok, COUNTA(D161:F164)=0),
        template_label_missing_value,
        IF(AND(G159=template_label_missing_value, COUNTIF(D161:F164,"&lt;&gt;")&gt;0),
            template_label_value_inconsistency,
            ""
        )
    )
)</f>
        <v/>
      </c>
      <c r="H161" s="126"/>
      <c r="K161" s="16"/>
    </row>
    <row r="162" spans="3:12" x14ac:dyDescent="0.35">
      <c r="C162" s="127" t="str">
        <f>template_label_total_nature_oriented_area_on_site</f>
        <v>Total nature-oriented area on-site</v>
      </c>
      <c r="D162" s="744"/>
      <c r="E162" s="744"/>
      <c r="F162" s="745"/>
      <c r="G162" s="676"/>
      <c r="H162" s="126"/>
      <c r="K162" s="16"/>
    </row>
    <row r="163" spans="3:12" x14ac:dyDescent="0.35">
      <c r="C163" s="127" t="str">
        <f>template_label_total_nature_oriented_area_off_site</f>
        <v>Total nature-oriented area off-site</v>
      </c>
      <c r="D163" s="744"/>
      <c r="E163" s="744"/>
      <c r="F163" s="745"/>
      <c r="G163" s="676"/>
      <c r="H163" s="126"/>
      <c r="K163" s="16"/>
    </row>
    <row r="164" spans="3:12" ht="15" thickBot="1" x14ac:dyDescent="0.4">
      <c r="C164" s="114" t="str">
        <f>template_label_total_use_of_land</f>
        <v>Total use of land</v>
      </c>
      <c r="D164" s="911"/>
      <c r="E164" s="911"/>
      <c r="F164" s="912"/>
      <c r="G164" s="676"/>
      <c r="H164" s="126"/>
      <c r="K164" s="16"/>
    </row>
    <row r="165" spans="3:12" ht="15" thickBot="1" x14ac:dyDescent="0.4"/>
    <row r="166" spans="3:12" x14ac:dyDescent="0.35">
      <c r="C166" s="563" t="str">
        <f>template_label_b6_water_withdrawal&amp;" "&amp;template_label_from&amp;" "&amp;template_starting_date_display&amp;" "&amp;template_label_to&amp;" "&amp;template_ending_date_display&amp;" "&amp;template_label_always_to_be_reported</f>
        <v>B6 - Water Withdrawal from - to - [Always to be reported]</v>
      </c>
      <c r="D166" s="883"/>
      <c r="E166" s="15"/>
      <c r="F166" s="15"/>
      <c r="G166" s="16"/>
      <c r="H166" s="16"/>
      <c r="I166" s="16"/>
      <c r="K166" s="16"/>
    </row>
    <row r="167" spans="3:12" x14ac:dyDescent="0.35">
      <c r="C167" s="516">
        <v>35</v>
      </c>
      <c r="D167" s="799"/>
      <c r="E167" s="128"/>
      <c r="F167" s="128"/>
      <c r="G167" s="16"/>
      <c r="H167" s="16"/>
      <c r="I167" s="16"/>
    </row>
    <row r="168" spans="3:12" x14ac:dyDescent="0.35">
      <c r="C168" s="630" t="s">
        <v>5655</v>
      </c>
      <c r="D168" s="805"/>
      <c r="E168" s="129"/>
      <c r="F168" s="129"/>
      <c r="G168" s="16"/>
      <c r="H168" s="16"/>
      <c r="I168" s="16"/>
      <c r="K168" s="52"/>
      <c r="L168" s="52"/>
    </row>
    <row r="169" spans="3:12" x14ac:dyDescent="0.35">
      <c r="C169" s="100" t="str">
        <f>template_label_total_amount_of_water_withdrawn_from_all_sites</f>
        <v>Total amount of water withdrawn from all sites (cubic meters m³)</v>
      </c>
      <c r="D169" s="274"/>
      <c r="E169" s="885" t="str">
        <f>IF(
    AND(
        OR(
            'General Information'!E32="Option A (Basic Module only)",
            'General Information'!E32="Option B (Basic Module and Comprehensive Module)"
        ),
        TotalAmountOfWaterWithdrawnFromAllSites=""
    ),
    template_label_missing_value,
    IF('General Information'!E32="", "", template_label_ok)
)</f>
        <v/>
      </c>
      <c r="F169" s="886"/>
      <c r="G169" s="16"/>
      <c r="H169" s="16"/>
      <c r="I169" s="16"/>
    </row>
    <row r="170" spans="3:12" ht="15" thickBot="1" x14ac:dyDescent="0.4">
      <c r="C170" s="130" t="str">
        <f>template_label_amount_of_water_withdrawn_at_sites_located_in_areas_of_high_water_stress</f>
        <v>Amount of water withdrawn at sites located in areas of high water-stress (cubic meters m³)</v>
      </c>
      <c r="D170" s="275"/>
      <c r="E170" s="913" t="str">
        <f>IF(
    AND(
        OR(
            'General Information'!E32="Option A (Basic Module only)",
            'General Information'!E32="Option B (Basic Module and Comprehensive Module)"
        ),
        AmountOfWaterWithdrawnAtSitesLocatedInAreasOfHighWaterStress=""
    ),
    template_label_missing_value,
    IF('General Information'!E32="", "", template_label_ok)
)</f>
        <v/>
      </c>
      <c r="F170" s="884"/>
      <c r="G170" s="16"/>
      <c r="H170" s="16"/>
      <c r="I170" s="16"/>
    </row>
    <row r="171" spans="3:12" ht="15" thickBot="1" x14ac:dyDescent="0.4">
      <c r="K171" s="38"/>
    </row>
    <row r="172" spans="3:12" x14ac:dyDescent="0.35">
      <c r="C172" s="563" t="str">
        <f>template_label_b6_water_consumption&amp;" "&amp;template_label_from&amp;" "&amp;template_starting_date_display&amp;" "&amp;template_label_to&amp;" "&amp;template_ending_date_display&amp;" "&amp;template_label_if_applicable</f>
        <v>B6 - Water Consumption from - to - [If applicable]</v>
      </c>
      <c r="D172" s="883"/>
      <c r="E172" s="15"/>
      <c r="F172" s="15"/>
    </row>
    <row r="173" spans="3:12" x14ac:dyDescent="0.35">
      <c r="C173" s="714">
        <v>36</v>
      </c>
      <c r="D173" s="716"/>
      <c r="E173" s="128"/>
      <c r="F173" s="128"/>
    </row>
    <row r="174" spans="3:12" x14ac:dyDescent="0.35">
      <c r="C174" s="630" t="s">
        <v>5656</v>
      </c>
      <c r="D174" s="632"/>
      <c r="E174" s="129"/>
      <c r="F174" s="129"/>
    </row>
    <row r="175" spans="3:12" ht="50.75" customHeight="1" x14ac:dyDescent="0.35">
      <c r="C175" s="132" t="str">
        <f>template_label_does_the_undertaking_have_production_processes_in_place_which_significantly_consume_water</f>
        <v>Does the undertaking have production processes in place which significantly consume water (e.g. thermal energy processes like drying or power production production of goods agricultural irrigation etc.)?</v>
      </c>
      <c r="D175" s="147" t="b">
        <v>0</v>
      </c>
      <c r="E175" s="131"/>
      <c r="F175" s="131"/>
      <c r="G175" s="16"/>
      <c r="H175" s="16"/>
      <c r="I175" s="16"/>
    </row>
    <row r="176" spans="3:12" ht="15" thickBot="1" x14ac:dyDescent="0.4">
      <c r="C176" s="130" t="str">
        <f>template_label_water_discharge_from_undertaking_production_processes</f>
        <v>Water discharge from undertaking production processes (m³)</v>
      </c>
      <c r="D176" s="291"/>
      <c r="E176" s="884" t="str">
        <f>IF(
    AND(D175=TRUE, D176=""),
    template_label_missing_value,
    IF(AND(D175=TRUE, D176&lt;&gt;""),
        template_label_ok,
        ""
    )
)</f>
        <v/>
      </c>
      <c r="F176" s="884"/>
      <c r="G176" s="16"/>
      <c r="H176" s="16"/>
      <c r="I176" s="16"/>
    </row>
    <row r="177" spans="3:14" ht="21" customHeight="1" thickBot="1" x14ac:dyDescent="0.4">
      <c r="C177" s="133" t="str">
        <f>template_label_total_water_consumption</f>
        <v>Total water consumption (m³)</v>
      </c>
      <c r="D177" s="292" t="str">
        <f>IF(D176&lt;&gt;"",$D$169-$D$176,"-")</f>
        <v>-</v>
      </c>
      <c r="E177" s="134"/>
      <c r="F177" s="134"/>
    </row>
    <row r="178" spans="3:14" ht="15" thickBot="1" x14ac:dyDescent="0.4"/>
    <row r="179" spans="3:14" x14ac:dyDescent="0.35">
      <c r="C179" s="711" t="str">
        <f>template_label_b7_description_of_circular_economy_principles&amp;" "&amp;template_label_from&amp;" "&amp;template_starting_date_display&amp;" "&amp;template_label_to&amp;" "&amp;template_ending_date_display&amp;" "&amp;template_label_always_to_be_reported</f>
        <v>B7 - Description of circular economy principles from - to - [Always to be reported]</v>
      </c>
      <c r="D179" s="712"/>
      <c r="E179" s="890"/>
      <c r="F179" s="890"/>
      <c r="G179" s="713"/>
      <c r="H179" s="16"/>
      <c r="I179" s="16"/>
    </row>
    <row r="180" spans="3:14" x14ac:dyDescent="0.35">
      <c r="C180" s="714">
        <v>37</v>
      </c>
      <c r="D180" s="715"/>
      <c r="E180" s="891"/>
      <c r="F180" s="891"/>
      <c r="G180" s="716"/>
      <c r="H180" s="135"/>
      <c r="I180" s="135"/>
    </row>
    <row r="181" spans="3:14" x14ac:dyDescent="0.35">
      <c r="C181" s="739">
        <v>94</v>
      </c>
      <c r="D181" s="740"/>
      <c r="E181" s="578"/>
      <c r="F181" s="578"/>
      <c r="G181" s="746"/>
      <c r="H181" s="136"/>
      <c r="I181" s="136"/>
    </row>
    <row r="182" spans="3:14" x14ac:dyDescent="0.35">
      <c r="C182" s="98" t="str">
        <f>template_label_undertaking_applies_circular_economy_principles</f>
        <v>Undertaking applies circular economy principles</v>
      </c>
      <c r="D182" s="892"/>
      <c r="E182" s="893"/>
      <c r="F182" s="893"/>
      <c r="G182" s="894"/>
      <c r="H182" s="887" t="str">
        <f>IF(
    AND(
        OR(
            'General Information'!E32="Option A (Basic Module only)",
            'General Information'!E32="Option B (Basic Module and Comprehensive Module)"
        ),
        UndertakingAppliesCircularEconomyPrinciples=""
    ),
    template_label_missing_value,
    IF('General Information'!E32="", "", template_label_ok)
)</f>
        <v/>
      </c>
      <c r="I182" s="531"/>
      <c r="J182" s="16"/>
    </row>
    <row r="183" spans="3:14" ht="15" thickBot="1" x14ac:dyDescent="0.4">
      <c r="C183" s="117" t="str">
        <f>template_label_description_of_how_it_applies_these_principles</f>
        <v>Description of how it applies these principles</v>
      </c>
      <c r="D183" s="550"/>
      <c r="E183" s="560"/>
      <c r="F183" s="560"/>
      <c r="G183" s="551"/>
      <c r="H183" s="887" t="str">
        <f>IF(
    AND(D182="YES", D183=""),
    template_label_missing_value,
    IF(
        AND(D182="YES", D183&lt;&gt;""),
        template_label_ok,
        IF(
            AND(D182="NO", D183&lt;&gt;""),
            template_label_value_inconsistency,
            ""
        )
    )
)</f>
        <v/>
      </c>
      <c r="I183" s="531"/>
      <c r="J183" s="16"/>
    </row>
    <row r="184" spans="3:14" ht="15" thickBot="1" x14ac:dyDescent="0.4"/>
    <row r="185" spans="3:14" x14ac:dyDescent="0.35">
      <c r="C185" s="711" t="str">
        <f>template_label_b7_waste_generated&amp;" "&amp;template_label_from&amp;" "&amp;template_starting_date_display&amp;" "&amp;template_label_to&amp;" "&amp;template_ending_date_display&amp;" "&amp;template_label_always_to_be_reported</f>
        <v>B7 - Waste generated from - to - [Always to be reported]</v>
      </c>
      <c r="D185" s="712"/>
      <c r="E185" s="712"/>
      <c r="F185" s="712"/>
      <c r="G185" s="712"/>
      <c r="H185" s="712"/>
      <c r="I185" s="712"/>
      <c r="J185" s="712"/>
      <c r="K185" s="712"/>
      <c r="L185" s="713"/>
    </row>
    <row r="186" spans="3:14" x14ac:dyDescent="0.35">
      <c r="C186" s="714" t="s">
        <v>3727</v>
      </c>
      <c r="D186" s="715"/>
      <c r="E186" s="715"/>
      <c r="F186" s="715"/>
      <c r="G186" s="715"/>
      <c r="H186" s="715"/>
      <c r="I186" s="715"/>
      <c r="J186" s="715"/>
      <c r="K186" s="715"/>
      <c r="L186" s="716"/>
    </row>
    <row r="187" spans="3:14" x14ac:dyDescent="0.35">
      <c r="C187" s="739" t="s">
        <v>5657</v>
      </c>
      <c r="D187" s="740"/>
      <c r="E187" s="740"/>
      <c r="F187" s="740"/>
      <c r="G187" s="740"/>
      <c r="H187" s="740"/>
      <c r="I187" s="740"/>
      <c r="J187" s="740"/>
      <c r="K187" s="740"/>
      <c r="L187" s="746"/>
    </row>
    <row r="188" spans="3:14" ht="49.25" customHeight="1" x14ac:dyDescent="0.35">
      <c r="C188" s="137" t="str">
        <f>template_label_row_id</f>
        <v>Row ID</v>
      </c>
      <c r="D188" s="878" t="str">
        <f>template_label_type_of_waste</f>
        <v>Type of waste</v>
      </c>
      <c r="E188" s="878"/>
      <c r="F188" s="878"/>
      <c r="G188" s="880" t="str">
        <f>template_label_unit_of_measurement</f>
        <v>Unit of measurement</v>
      </c>
      <c r="H188" s="880"/>
      <c r="I188" s="880"/>
      <c r="J188" s="138" t="str">
        <f>template_label_waste_diverted_to_recycle_or_reuse</f>
        <v>Waste diverted to recycle or reuse</v>
      </c>
      <c r="K188" s="139" t="str">
        <f>template_label_waste_directed_to_disposal</f>
        <v>Waste directed to disposal</v>
      </c>
      <c r="L188" s="140" t="str">
        <f>template_label_total_waste_recycled_reused_and_directed_to_disposal</f>
        <v>Amount of waste recycled reused and directed to disposal</v>
      </c>
    </row>
    <row r="189" spans="3:14" x14ac:dyDescent="0.35">
      <c r="C189" s="385">
        <v>1</v>
      </c>
      <c r="D189" s="875"/>
      <c r="E189" s="875"/>
      <c r="F189" s="875"/>
      <c r="G189" s="874"/>
      <c r="H189" s="874"/>
      <c r="I189" s="874"/>
      <c r="J189" s="276"/>
      <c r="K189" s="277"/>
      <c r="L189" s="278" t="str">
        <f>IF(AND(D189="",J189="",K189=""),"-",SUM(J189:K189))</f>
        <v>-</v>
      </c>
      <c r="M189" s="16" t="str">
        <f>IF(
    OR('General Information'!E32 = "Option A (Basic Module only)", 'General Information'!E32 = "Option B (Basic Module and Comprehensive Module)"),
    IF(
        COUNTIF(enum_ListWasteCategories, D189) &gt; 0,
        template_label_error,
        IF(
            OR(D189 = "", G189 = "", J189 = "", K189 = ""),
            template_label_missing_value,
            IF(
                COUNTIF(D189:D203, D189) &gt; 1,
                template_label_value_inconsistency,
                template_label_ok
            )
        )
    ),
    ""
)</f>
        <v/>
      </c>
      <c r="N189" t="str">
        <f>template_label_type_of_waste_warning</f>
        <v>ℹ️  Please select a Type of waste (Hazardous or Non-Hazardous) rather than a category else an ERROR message will appear.</v>
      </c>
    </row>
    <row r="190" spans="3:14" x14ac:dyDescent="0.35">
      <c r="C190" s="385">
        <v>2</v>
      </c>
      <c r="D190" s="875"/>
      <c r="E190" s="875"/>
      <c r="F190" s="875"/>
      <c r="G190" s="874"/>
      <c r="H190" s="874"/>
      <c r="I190" s="874"/>
      <c r="J190" s="279"/>
      <c r="K190" s="279"/>
      <c r="L190" s="280" t="str">
        <f t="shared" ref="L190:L203" si="5">IF(AND(D190="",J190="",K190=""),"-",SUM(J190:K190))</f>
        <v>-</v>
      </c>
      <c r="M190" s="16" t="str">
        <f t="shared" ref="M190:M203" si="6">IF(COUNTIF(enum_ListWasteCategories,D190)&gt;0,template_label_error,
IF(AND(D190&lt;&gt;"",G190&lt;&gt;"",J190&lt;&gt;"",K190&lt;&gt;""),
IF(COUNTIF($D$189:$D$203,D190)&gt;1,template_label_value_inconsistency,template_label_ok),
IF(AND(D190&lt;&gt;"",G190&lt;&gt;"",J190&lt;&gt;"",K190=""),template_label_missing_value,
IF(AND(D190&lt;&gt;"",G190&lt;&gt;"",J190="",K190&lt;&gt;""),template_label_missing_value,
IF(AND(D190&lt;&gt;"",G190="",J190&lt;&gt;"",K190&lt;&gt;""),template_label_missing_value,
IF(AND(D190="",G190&lt;&gt;"",J190&lt;&gt;"",K190&lt;&gt;""),template_label_missing_value,
IF(AND(D190&lt;&gt;"",G190&lt;&gt;"",J190="",K190=""),template_label_missing_value,
IF(AND(D190&lt;&gt;"",G190="",J190&lt;&gt;"",K190=""),template_label_missing_value,
IF(AND(D190&lt;&gt;"",G190="",J190="",K190&lt;&gt;""),template_label_missing_value,
IF(AND(D190="",G190="",J190&lt;&gt;"",K190&lt;&gt;""),template_label_missing_value,
IF(AND(D190="",G190&lt;&gt;"",J190="",K190&lt;&gt;""),template_label_missing_value,
IF(AND(D190="",G190&lt;&gt;"",J190&lt;&gt;"",K190=""),template_label_missing_value,
IF(AND(D190="",G190="",J190="",K190&lt;&gt;""),template_label_missing_value,
IF(AND(D190="",G190="",J190&lt;&gt;"",K190=""),template_label_missing_value,
IF(AND(D190="",G190&lt;&gt;"",J190="",K190=""),template_label_missing_value,
IF(AND(D190&lt;&gt;"",G190="",J190="",K190=""),template_label_missing_value,
""))))))))))))))))</f>
        <v/>
      </c>
    </row>
    <row r="191" spans="3:14" ht="15" thickBot="1" x14ac:dyDescent="0.4">
      <c r="C191" s="386">
        <v>3</v>
      </c>
      <c r="D191" s="876"/>
      <c r="E191" s="876"/>
      <c r="F191" s="876"/>
      <c r="G191" s="877"/>
      <c r="H191" s="877"/>
      <c r="I191" s="877"/>
      <c r="J191" s="281"/>
      <c r="K191" s="281"/>
      <c r="L191" s="282" t="str">
        <f t="shared" si="5"/>
        <v>-</v>
      </c>
      <c r="M191" s="16" t="str">
        <f t="shared" si="6"/>
        <v/>
      </c>
      <c r="N191" t="str">
        <f>template_label_additional_rows_warning</f>
        <v>ℹ️  Lists can be expanded using the little [+] button on the left.  If the number of rows is not sufficient, those can be added by right clicking the second row and selecting "Insert row".</v>
      </c>
    </row>
    <row r="192" spans="3:14" hidden="1" outlineLevel="1" x14ac:dyDescent="0.35">
      <c r="C192" s="383">
        <v>4</v>
      </c>
      <c r="D192" s="879"/>
      <c r="E192" s="879"/>
      <c r="F192" s="879"/>
      <c r="G192" s="889"/>
      <c r="H192" s="889"/>
      <c r="I192" s="889"/>
      <c r="J192" s="283"/>
      <c r="K192" s="283"/>
      <c r="L192" s="284" t="str">
        <f t="shared" si="5"/>
        <v>-</v>
      </c>
      <c r="M192" s="16" t="str">
        <f t="shared" si="6"/>
        <v/>
      </c>
    </row>
    <row r="193" spans="3:13" hidden="1" outlineLevel="1" x14ac:dyDescent="0.35">
      <c r="C193" s="385">
        <v>5</v>
      </c>
      <c r="D193" s="875"/>
      <c r="E193" s="875"/>
      <c r="F193" s="875"/>
      <c r="G193" s="874"/>
      <c r="H193" s="874"/>
      <c r="I193" s="874"/>
      <c r="J193" s="279"/>
      <c r="K193" s="279"/>
      <c r="L193" s="280" t="str">
        <f t="shared" si="5"/>
        <v>-</v>
      </c>
      <c r="M193" s="16" t="str">
        <f t="shared" si="6"/>
        <v/>
      </c>
    </row>
    <row r="194" spans="3:13" hidden="1" outlineLevel="1" x14ac:dyDescent="0.35">
      <c r="C194" s="385">
        <v>6</v>
      </c>
      <c r="D194" s="875"/>
      <c r="E194" s="875"/>
      <c r="F194" s="875"/>
      <c r="G194" s="874"/>
      <c r="H194" s="874"/>
      <c r="I194" s="874"/>
      <c r="J194" s="279"/>
      <c r="K194" s="279"/>
      <c r="L194" s="280" t="str">
        <f>IF(AND(D194="",J194="",K194=""),"-",SUM(J194:K194))</f>
        <v>-</v>
      </c>
      <c r="M194" s="16" t="str">
        <f t="shared" si="6"/>
        <v/>
      </c>
    </row>
    <row r="195" spans="3:13" hidden="1" outlineLevel="1" x14ac:dyDescent="0.35">
      <c r="C195" s="385">
        <v>7</v>
      </c>
      <c r="D195" s="875"/>
      <c r="E195" s="875"/>
      <c r="F195" s="875"/>
      <c r="G195" s="874"/>
      <c r="H195" s="874"/>
      <c r="I195" s="874"/>
      <c r="J195" s="279"/>
      <c r="K195" s="279"/>
      <c r="L195" s="280" t="str">
        <f>IF(AND(D195="",J195="",K195=""),"-",SUM(J195:K195))</f>
        <v>-</v>
      </c>
      <c r="M195" s="16" t="str">
        <f t="shared" si="6"/>
        <v/>
      </c>
    </row>
    <row r="196" spans="3:13" hidden="1" outlineLevel="1" x14ac:dyDescent="0.35">
      <c r="C196" s="385">
        <v>8</v>
      </c>
      <c r="D196" s="875"/>
      <c r="E196" s="875"/>
      <c r="F196" s="875"/>
      <c r="G196" s="874"/>
      <c r="H196" s="874"/>
      <c r="I196" s="874"/>
      <c r="J196" s="279"/>
      <c r="K196" s="279"/>
      <c r="L196" s="280" t="str">
        <f t="shared" si="5"/>
        <v>-</v>
      </c>
      <c r="M196" s="16" t="str">
        <f t="shared" si="6"/>
        <v/>
      </c>
    </row>
    <row r="197" spans="3:13" hidden="1" outlineLevel="1" x14ac:dyDescent="0.35">
      <c r="C197" s="385">
        <v>9</v>
      </c>
      <c r="D197" s="875"/>
      <c r="E197" s="875"/>
      <c r="F197" s="875"/>
      <c r="G197" s="874"/>
      <c r="H197" s="874"/>
      <c r="I197" s="874"/>
      <c r="J197" s="279"/>
      <c r="K197" s="279"/>
      <c r="L197" s="280" t="str">
        <f t="shared" si="5"/>
        <v>-</v>
      </c>
      <c r="M197" s="16" t="str">
        <f t="shared" si="6"/>
        <v/>
      </c>
    </row>
    <row r="198" spans="3:13" hidden="1" outlineLevel="1" x14ac:dyDescent="0.35">
      <c r="C198" s="385">
        <v>10</v>
      </c>
      <c r="D198" s="875"/>
      <c r="E198" s="875"/>
      <c r="F198" s="875"/>
      <c r="G198" s="874"/>
      <c r="H198" s="874"/>
      <c r="I198" s="874"/>
      <c r="J198" s="279"/>
      <c r="K198" s="279"/>
      <c r="L198" s="280" t="str">
        <f t="shared" si="5"/>
        <v>-</v>
      </c>
      <c r="M198" s="16" t="str">
        <f t="shared" si="6"/>
        <v/>
      </c>
    </row>
    <row r="199" spans="3:13" hidden="1" outlineLevel="1" x14ac:dyDescent="0.35">
      <c r="C199" s="385">
        <v>11</v>
      </c>
      <c r="D199" s="875"/>
      <c r="E199" s="875"/>
      <c r="F199" s="875"/>
      <c r="G199" s="874"/>
      <c r="H199" s="874"/>
      <c r="I199" s="874"/>
      <c r="J199" s="279"/>
      <c r="K199" s="279"/>
      <c r="L199" s="280" t="str">
        <f t="shared" si="5"/>
        <v>-</v>
      </c>
      <c r="M199" s="16" t="str">
        <f t="shared" si="6"/>
        <v/>
      </c>
    </row>
    <row r="200" spans="3:13" hidden="1" outlineLevel="1" x14ac:dyDescent="0.35">
      <c r="C200" s="385">
        <v>12</v>
      </c>
      <c r="D200" s="875"/>
      <c r="E200" s="875"/>
      <c r="F200" s="875"/>
      <c r="G200" s="874"/>
      <c r="H200" s="874"/>
      <c r="I200" s="874"/>
      <c r="J200" s="279"/>
      <c r="K200" s="279"/>
      <c r="L200" s="280" t="str">
        <f t="shared" si="5"/>
        <v>-</v>
      </c>
      <c r="M200" s="16" t="str">
        <f t="shared" si="6"/>
        <v/>
      </c>
    </row>
    <row r="201" spans="3:13" hidden="1" outlineLevel="1" x14ac:dyDescent="0.35">
      <c r="C201" s="385">
        <v>13</v>
      </c>
      <c r="D201" s="875"/>
      <c r="E201" s="875"/>
      <c r="F201" s="875"/>
      <c r="G201" s="874"/>
      <c r="H201" s="874"/>
      <c r="I201" s="874"/>
      <c r="J201" s="279"/>
      <c r="K201" s="279"/>
      <c r="L201" s="280" t="str">
        <f t="shared" si="5"/>
        <v>-</v>
      </c>
      <c r="M201" s="16" t="str">
        <f t="shared" si="6"/>
        <v/>
      </c>
    </row>
    <row r="202" spans="3:13" hidden="1" outlineLevel="1" x14ac:dyDescent="0.35">
      <c r="C202" s="385">
        <v>14</v>
      </c>
      <c r="D202" s="875"/>
      <c r="E202" s="875"/>
      <c r="F202" s="875"/>
      <c r="G202" s="874"/>
      <c r="H202" s="874"/>
      <c r="I202" s="874"/>
      <c r="J202" s="279"/>
      <c r="K202" s="279"/>
      <c r="L202" s="280" t="str">
        <f t="shared" si="5"/>
        <v>-</v>
      </c>
      <c r="M202" s="16" t="str">
        <f t="shared" si="6"/>
        <v/>
      </c>
    </row>
    <row r="203" spans="3:13" ht="15" hidden="1" outlineLevel="1" thickBot="1" x14ac:dyDescent="0.4">
      <c r="C203" s="384">
        <v>15</v>
      </c>
      <c r="D203" s="873"/>
      <c r="E203" s="873"/>
      <c r="F203" s="873"/>
      <c r="G203" s="877"/>
      <c r="H203" s="877"/>
      <c r="I203" s="877"/>
      <c r="J203" s="285"/>
      <c r="K203" s="285"/>
      <c r="L203" s="282" t="str">
        <f t="shared" si="5"/>
        <v>-</v>
      </c>
      <c r="M203" s="16" t="str">
        <f t="shared" si="6"/>
        <v/>
      </c>
    </row>
    <row r="204" spans="3:13" collapsed="1" x14ac:dyDescent="0.35">
      <c r="C204" s="870" t="str">
        <f>template_label_total_amount_of_waste_generated</f>
        <v>Total amount of waste generated</v>
      </c>
      <c r="D204" s="909" t="str">
        <f>template_label_total_hazardous_waste_generated_mass</f>
        <v>Total Hazardous waste generated (mass)</v>
      </c>
      <c r="E204" s="909"/>
      <c r="F204" s="910"/>
      <c r="G204" s="903"/>
      <c r="H204" s="903"/>
      <c r="I204" s="904"/>
      <c r="J204" s="920" t="str">
        <f>IF(OR(G204="", AND(D189="",J189="",K189="",D190="",J190="",K190="",D191="",J191="",K191="",D192="",J192="",K192="",D193="",J193="",K193="",D194="",J194="",K194="",D195="",J195="",K195="",D196="",J196="",K196="",D197="",J197="",K197="",D198="",J198="",K198="",D199="",J199="",K199="",D200="",J200="",K200="",D201="",J201="",K201="",D202="",J202="",K202="",D203="",J203="",K203="")),
    "-",
    IF(G204="metric tonnes (t)",
        SUMIFS(L189:L203, D189:D203, "* Hazardous *", G189:G203, "*kilograms (kg)*") / 1000 +
        SUMIFS(L189:L203, D189:D203, "* Hazardous *", G189:G203, "*metric tonnes (t)*"),
        SUMIFS(L189:L203, D189:D203, "* Hazardous *", G189:G203, "*kilograms (kg)*") +
        SUMIFS(L189:L203, D189:D203, "* Hazardous *", G189:G203, "*metric tonnes (t)*") * 1000
    )
)</f>
        <v>-</v>
      </c>
      <c r="K204" s="920"/>
      <c r="L204" s="921"/>
      <c r="M204" s="16" t="str" cm="1">
        <f t="array" ref="M204">IF(G204="",
    IF(SUMPRODUCT(--((G189:G203="metric tonnes (t)")+(G189:G203="kilograms (kg)")))&gt;0,
        template_label_missing_value,
        ""
    ),
    IF(SUMPRODUCT(--((G189:G203="metric tonnes (t)")+(G189:G203="kilograms (kg)")))&gt;0,
        template_label_ok,
        ""
    )
)</f>
        <v/>
      </c>
    </row>
    <row r="205" spans="3:13" x14ac:dyDescent="0.35">
      <c r="C205" s="871"/>
      <c r="D205" s="905" t="str">
        <f>template_label_total_non_hazardous_waste_generated_mass</f>
        <v>Total Non-Hazardous waste generated (mass)</v>
      </c>
      <c r="E205" s="905"/>
      <c r="F205" s="906"/>
      <c r="G205" s="899" t="str">
        <f>IF($G$204="", "-", $G$204)</f>
        <v>-</v>
      </c>
      <c r="H205" s="899"/>
      <c r="I205" s="901"/>
      <c r="J205" s="780" t="str">
        <f>IF(OR(G204="", AND(D189="",J189="",K189="",D190="",J190="",K190="",D191="",J191="",K191="",D192="",J192="",K192="",D193="",J193="",K193="",D194="",J194="",K194="",D195="",J195="",K195="",D196="",J196="",K196="",D197="",J197="",K197="",D198="",J198="",K198="",D199="",J199="",K199="",D200="",J200="",K200="",D201="",J201="",K201="",D202="",J202="",K202="",D203="",J203="",K203="")),
    "-",
    IF(G204="metric tonnes (t)",
        SUMIFS(L189:L203, D189:D203, "* Non-Hazardous *", G189:G203, "*kilograms (kg)*") / 1000 +
        SUMIFS(L189:L203, D189:D203, "* Non-Hazardous *", G189:G203, "*metric tonnes (t)*"),
        SUMIFS(L189:L203, D189:D203, "* Non-Hazardous *", G189:G203, "*kilograms (kg)*") +
        SUMIFS(L189:L203, D189:D203, "* Non-Hazardous *", G189:G203, "*metric tonnes (t)*") * 1000
    )
)</f>
        <v>-</v>
      </c>
      <c r="K205" s="780"/>
      <c r="L205" s="898"/>
    </row>
    <row r="206" spans="3:13" ht="15" thickBot="1" x14ac:dyDescent="0.4">
      <c r="C206" s="871"/>
      <c r="D206" s="907" t="str">
        <f>template_label_total_waste_generated_mass</f>
        <v>Total waste generated (mass)</v>
      </c>
      <c r="E206" s="907"/>
      <c r="F206" s="908"/>
      <c r="G206" s="899" t="str">
        <f>IF($G$204="", "-", $G$204)</f>
        <v>-</v>
      </c>
      <c r="H206" s="900"/>
      <c r="I206" s="902"/>
      <c r="J206" s="678" t="str">
        <f>IF(AND(J204="-",J205="-"),"-",SUM(J204:L205))</f>
        <v>-</v>
      </c>
      <c r="K206" s="678"/>
      <c r="L206" s="867"/>
    </row>
    <row r="207" spans="3:13" x14ac:dyDescent="0.35">
      <c r="C207" s="871"/>
      <c r="D207" s="917" t="str">
        <f>template_label_total_hazardous_waste_generated_volume</f>
        <v>Total Hazardous waste generated (volume)</v>
      </c>
      <c r="E207" s="917"/>
      <c r="F207" s="918"/>
      <c r="G207" s="919" t="str">
        <f>template_label_cubic_meters</f>
        <v>cubic meters (m³)</v>
      </c>
      <c r="H207" s="919"/>
      <c r="I207" s="919"/>
      <c r="J207" s="868" t="str">
        <f>IF(AND(D189="",J189="",K189="",D190="",J190="",K190="",D191="",J191="",K191="",D192="",J192="",K192="",D193="",J193="",K193="",D194="",J194="",K194="",D195="",J195="",K195="",D196="",J196="",K196="",D197="",J197="",K197="",D198="",J198="",K198="",D199="",J199="",K199="",D200="",J200="",K200="",D201="",J201="",K201="",D202="",J202="",K202="",D203="",J203="",K203=""),"-",SUMIFS(L189:L203, D189:D203,"* Hazardous *", G189:G203,"*cubic meters (m3)*"))</f>
        <v>-</v>
      </c>
      <c r="K207" s="868"/>
      <c r="L207" s="869"/>
    </row>
    <row r="208" spans="3:13" x14ac:dyDescent="0.35">
      <c r="C208" s="871"/>
      <c r="D208" s="905" t="str">
        <f>template_label_total_non_hazardous_waste_generated_volume</f>
        <v>Total Non-Hazardous waste generated (volume)</v>
      </c>
      <c r="E208" s="905"/>
      <c r="F208" s="906"/>
      <c r="G208" s="899" t="str">
        <f>template_label_cubic_meters</f>
        <v>cubic meters (m³)</v>
      </c>
      <c r="H208" s="899"/>
      <c r="I208" s="899"/>
      <c r="J208" s="780" t="str">
        <f>IF(AND(D189="",J189="",K189="",D190="",J190="",K190="",D191="",J191="",K191="",D192="",J192="",K192="",D193="",J193="",K193="",D194="",J194="",K194="",D195="",J195="",K195="",D196="",J196="",K196="",D197="",J197="",K197="",D198="",J198="",K198="",D199="",J199="",K199="",D200="",J200="",K200="",D201="",J201="",K201="",D202="",J202="",K202="",D203="",J203="",K203=""),"-",SUMIFS(L189:L203, D189:D203,"*Non-Hazardous*", G189:G203,"*cubic meters (m3)*"))</f>
        <v>-</v>
      </c>
      <c r="K208" s="780"/>
      <c r="L208" s="898"/>
    </row>
    <row r="209" spans="3:12" ht="15" thickBot="1" x14ac:dyDescent="0.4">
      <c r="C209" s="872"/>
      <c r="D209" s="907" t="str">
        <f>template_label_total_waste_generated_volume</f>
        <v>Total waste generated (volume)</v>
      </c>
      <c r="E209" s="907"/>
      <c r="F209" s="908"/>
      <c r="G209" s="900" t="str">
        <f>template_label_cubic_meters</f>
        <v>cubic meters (m³)</v>
      </c>
      <c r="H209" s="900"/>
      <c r="I209" s="900"/>
      <c r="J209" s="678" t="str">
        <f>IF(AND(J207="-",J208="-"),"-",SUM(J207:L208))</f>
        <v>-</v>
      </c>
      <c r="K209" s="678"/>
      <c r="L209" s="867"/>
    </row>
    <row r="210" spans="3:12" ht="15" thickBot="1" x14ac:dyDescent="0.4"/>
    <row r="211" spans="3:12" x14ac:dyDescent="0.35">
      <c r="C211" s="711" t="str">
        <f>template_label_b7_annual_mass_flow_of_relevant_materials_used&amp;" "&amp;template_label_from&amp;" "&amp;template_starting_date_display&amp;" "&amp;template_label_to&amp;" "&amp;template_ending_date_display&amp;" "&amp;template_label_if_applicable</f>
        <v>B7 – Annual mass-flow of relevant materials used from - to - [If applicable]</v>
      </c>
      <c r="D211" s="712"/>
      <c r="E211" s="712"/>
      <c r="F211" s="712"/>
      <c r="G211" s="712"/>
      <c r="H211" s="712"/>
      <c r="I211" s="712"/>
      <c r="J211" s="713"/>
    </row>
    <row r="212" spans="3:12" x14ac:dyDescent="0.35">
      <c r="C212" s="714" t="s">
        <v>3750</v>
      </c>
      <c r="D212" s="715"/>
      <c r="E212" s="715"/>
      <c r="F212" s="715"/>
      <c r="G212" s="715"/>
      <c r="H212" s="715"/>
      <c r="I212" s="715"/>
      <c r="J212" s="716"/>
    </row>
    <row r="213" spans="3:12" x14ac:dyDescent="0.35">
      <c r="C213" s="739" t="s">
        <v>5658</v>
      </c>
      <c r="D213" s="740"/>
      <c r="E213" s="740"/>
      <c r="F213" s="740"/>
      <c r="G213" s="740"/>
      <c r="H213" s="740"/>
      <c r="I213" s="740"/>
      <c r="J213" s="746"/>
      <c r="K213" s="11"/>
      <c r="L213" s="11"/>
    </row>
    <row r="214" spans="3:12" ht="30" customHeight="1" x14ac:dyDescent="0.35">
      <c r="C214" s="637" t="str">
        <f>template_label_does_the_undertaking_operate_in_a_sector_using_significant_material_flows</f>
        <v>Does the undertaking the undertaking operate in a sector using significant material flows (for example manufacturing construction packaging or others)?</v>
      </c>
      <c r="D214" s="922"/>
      <c r="E214" s="922"/>
      <c r="F214" s="923"/>
      <c r="G214" s="639" t="b">
        <v>0</v>
      </c>
      <c r="H214" s="640"/>
      <c r="I214" s="640"/>
      <c r="J214" s="641"/>
    </row>
    <row r="215" spans="3:12" ht="43.5" customHeight="1" x14ac:dyDescent="0.35">
      <c r="C215" s="143" t="str">
        <f>template_label_row_id</f>
        <v>Row ID</v>
      </c>
      <c r="D215" s="774" t="str">
        <f>template_label_name_of_the_key_material</f>
        <v>Name of the key material</v>
      </c>
      <c r="E215" s="774"/>
      <c r="F215" s="774"/>
      <c r="G215" s="774" t="str">
        <f>template_label_mass_volume</f>
        <v>Mass Volume</v>
      </c>
      <c r="H215" s="774"/>
      <c r="I215" s="774"/>
      <c r="J215" s="108" t="str">
        <f>template_label_unit_of_measurement</f>
        <v>Unit of measurement</v>
      </c>
    </row>
    <row r="216" spans="3:12" x14ac:dyDescent="0.35">
      <c r="C216" s="232">
        <v>1</v>
      </c>
      <c r="D216" s="695"/>
      <c r="E216" s="695"/>
      <c r="F216" s="695"/>
      <c r="G216" s="675"/>
      <c r="H216" s="675"/>
      <c r="I216" s="675"/>
      <c r="J216" s="146"/>
      <c r="K216" s="17" t="str">
        <f>IF(AND(G214=TRUE,D216&lt;&gt;"",G216&lt;&gt;"",J216&lt;&gt;""),
    template_label_ok,
    IF(AND(G214=TRUE,OR(D216="",G216="",J216="")),
        template_label_missing_value,
        ""
    )
)</f>
        <v/>
      </c>
    </row>
    <row r="217" spans="3:12" x14ac:dyDescent="0.35">
      <c r="C217" s="232">
        <v>2</v>
      </c>
      <c r="D217" s="785"/>
      <c r="E217" s="785"/>
      <c r="F217" s="785"/>
      <c r="G217" s="675"/>
      <c r="H217" s="675"/>
      <c r="I217" s="675"/>
      <c r="J217" s="146"/>
      <c r="K217" s="17" t="str">
        <f t="shared" ref="K217:K230" si="7">IF(AND(D217&lt;&gt;"",G217&lt;&gt;"",J217&lt;&gt;""),
    template_label_ok,
    IF(AND(D217&lt;&gt;"",G217&lt;&gt;"",J217=""),
        template_label_missing_value,
        IF(AND(D217&lt;&gt;"",G217="",J217&lt;&gt;""),
            template_label_missing_value,
            IF(AND(D217&lt;&gt;"",G217="",J217=""),
                template_label_missing_value,
                IF(AND(D217="",G217="",J217=""),
                    "",
                    template_label_missing_value
                )
            )
        )
    )
)</f>
        <v/>
      </c>
    </row>
    <row r="218" spans="3:12" x14ac:dyDescent="0.35">
      <c r="C218" s="232">
        <v>3</v>
      </c>
      <c r="D218" s="785"/>
      <c r="E218" s="785"/>
      <c r="F218" s="785"/>
      <c r="G218" s="675"/>
      <c r="H218" s="675"/>
      <c r="I218" s="675"/>
      <c r="J218" s="146"/>
      <c r="K218" s="17" t="str">
        <f t="shared" si="7"/>
        <v/>
      </c>
      <c r="L218" t="str">
        <f>template_label_additional_rows_warning</f>
        <v>ℹ️  Lists can be expanded using the little [+] button on the left.  If the number of rows is not sufficient, those can be added by right clicking the second row and selecting "Insert row".</v>
      </c>
    </row>
    <row r="219" spans="3:12" hidden="1" outlineLevel="1" x14ac:dyDescent="0.35">
      <c r="C219" s="232">
        <v>4</v>
      </c>
      <c r="D219" s="785"/>
      <c r="E219" s="785"/>
      <c r="F219" s="785"/>
      <c r="G219" s="675"/>
      <c r="H219" s="675"/>
      <c r="I219" s="675"/>
      <c r="J219" s="146"/>
      <c r="K219" s="17" t="str">
        <f t="shared" si="7"/>
        <v/>
      </c>
    </row>
    <row r="220" spans="3:12" hidden="1" outlineLevel="1" x14ac:dyDescent="0.35">
      <c r="C220" s="232">
        <v>5</v>
      </c>
      <c r="D220" s="785"/>
      <c r="E220" s="785"/>
      <c r="F220" s="785"/>
      <c r="G220" s="675"/>
      <c r="H220" s="675"/>
      <c r="I220" s="675"/>
      <c r="J220" s="146"/>
      <c r="K220" s="17" t="str">
        <f t="shared" si="7"/>
        <v/>
      </c>
    </row>
    <row r="221" spans="3:12" hidden="1" outlineLevel="1" x14ac:dyDescent="0.35">
      <c r="C221" s="232">
        <v>6</v>
      </c>
      <c r="D221" s="695"/>
      <c r="E221" s="695"/>
      <c r="F221" s="695"/>
      <c r="G221" s="675"/>
      <c r="H221" s="675"/>
      <c r="I221" s="675"/>
      <c r="J221" s="146"/>
      <c r="K221" s="17" t="str">
        <f t="shared" si="7"/>
        <v/>
      </c>
    </row>
    <row r="222" spans="3:12" hidden="1" outlineLevel="1" x14ac:dyDescent="0.35">
      <c r="C222" s="232">
        <v>7</v>
      </c>
      <c r="D222" s="695"/>
      <c r="E222" s="695"/>
      <c r="F222" s="695"/>
      <c r="G222" s="675"/>
      <c r="H222" s="675"/>
      <c r="I222" s="675"/>
      <c r="J222" s="146"/>
      <c r="K222" s="17" t="str">
        <f t="shared" si="7"/>
        <v/>
      </c>
    </row>
    <row r="223" spans="3:12" hidden="1" outlineLevel="1" x14ac:dyDescent="0.35">
      <c r="C223" s="232">
        <v>8</v>
      </c>
      <c r="D223" s="695"/>
      <c r="E223" s="695"/>
      <c r="F223" s="695"/>
      <c r="G223" s="675"/>
      <c r="H223" s="675"/>
      <c r="I223" s="675"/>
      <c r="J223" s="146"/>
      <c r="K223" s="17" t="str">
        <f t="shared" si="7"/>
        <v/>
      </c>
    </row>
    <row r="224" spans="3:12" hidden="1" outlineLevel="1" x14ac:dyDescent="0.35">
      <c r="C224" s="232">
        <v>9</v>
      </c>
      <c r="D224" s="695"/>
      <c r="E224" s="695"/>
      <c r="F224" s="695"/>
      <c r="G224" s="675"/>
      <c r="H224" s="675"/>
      <c r="I224" s="675"/>
      <c r="J224" s="146"/>
      <c r="K224" s="17" t="str">
        <f t="shared" si="7"/>
        <v/>
      </c>
    </row>
    <row r="225" spans="1:12" hidden="1" outlineLevel="1" x14ac:dyDescent="0.35">
      <c r="C225" s="232">
        <v>10</v>
      </c>
      <c r="D225" s="695"/>
      <c r="E225" s="695"/>
      <c r="F225" s="695"/>
      <c r="G225" s="675"/>
      <c r="H225" s="675"/>
      <c r="I225" s="675"/>
      <c r="J225" s="146"/>
      <c r="K225" s="17" t="str">
        <f t="shared" si="7"/>
        <v/>
      </c>
    </row>
    <row r="226" spans="1:12" hidden="1" outlineLevel="1" x14ac:dyDescent="0.35">
      <c r="C226" s="232">
        <v>11</v>
      </c>
      <c r="D226" s="786"/>
      <c r="E226" s="787"/>
      <c r="F226" s="788"/>
      <c r="G226" s="688"/>
      <c r="H226" s="689"/>
      <c r="I226" s="690"/>
      <c r="J226" s="146"/>
      <c r="K226" s="17" t="str">
        <f t="shared" si="7"/>
        <v/>
      </c>
    </row>
    <row r="227" spans="1:12" hidden="1" outlineLevel="1" x14ac:dyDescent="0.35">
      <c r="C227" s="232">
        <v>12</v>
      </c>
      <c r="D227" s="786"/>
      <c r="E227" s="787"/>
      <c r="F227" s="788"/>
      <c r="G227" s="688"/>
      <c r="H227" s="689"/>
      <c r="I227" s="690"/>
      <c r="J227" s="146"/>
      <c r="K227" s="17" t="str">
        <f t="shared" si="7"/>
        <v/>
      </c>
    </row>
    <row r="228" spans="1:12" hidden="1" outlineLevel="1" x14ac:dyDescent="0.35">
      <c r="C228" s="232">
        <v>13</v>
      </c>
      <c r="D228" s="786"/>
      <c r="E228" s="787"/>
      <c r="F228" s="788"/>
      <c r="G228" s="895"/>
      <c r="H228" s="896"/>
      <c r="I228" s="897"/>
      <c r="J228" s="146"/>
      <c r="K228" s="17" t="str">
        <f t="shared" si="7"/>
        <v/>
      </c>
    </row>
    <row r="229" spans="1:12" hidden="1" outlineLevel="1" x14ac:dyDescent="0.35">
      <c r="C229" s="232">
        <v>14</v>
      </c>
      <c r="D229" s="786"/>
      <c r="E229" s="787"/>
      <c r="F229" s="788"/>
      <c r="G229" s="688"/>
      <c r="H229" s="689"/>
      <c r="I229" s="690"/>
      <c r="J229" s="146"/>
      <c r="K229" s="17" t="str">
        <f t="shared" si="7"/>
        <v/>
      </c>
    </row>
    <row r="230" spans="1:12" hidden="1" outlineLevel="1" x14ac:dyDescent="0.35">
      <c r="C230" s="232">
        <v>15</v>
      </c>
      <c r="D230" s="786"/>
      <c r="E230" s="787"/>
      <c r="F230" s="788"/>
      <c r="G230" s="688"/>
      <c r="H230" s="689"/>
      <c r="I230" s="690"/>
      <c r="J230" s="146"/>
      <c r="K230" s="17" t="str">
        <f t="shared" si="7"/>
        <v/>
      </c>
    </row>
    <row r="231" spans="1:12" collapsed="1" x14ac:dyDescent="0.35">
      <c r="C231" s="783" t="str">
        <f>template_label_total_annual_mass_flow_of_relevant_materials_used_mass</f>
        <v>Total annual mass-flow of relevant materials used (mass in kg)</v>
      </c>
      <c r="D231" s="784"/>
      <c r="E231" s="784"/>
      <c r="F231" s="784"/>
      <c r="G231" s="780" t="str">
        <f>IF(AND(G216="",G217="",J216="",J217="",G218="",J218=""),"-",(SUMIF($J$216:$J$225,"kilograms (kg)",$G$216:$G$225))+((SUMIF($J$216:$J$225,"metric tonnes (t)",$G$216:$G$225))*1000))</f>
        <v>-</v>
      </c>
      <c r="H231" s="780"/>
      <c r="I231" s="780"/>
      <c r="J231" s="144" t="str">
        <f>template_label_kilograms</f>
        <v>kilograms (kg)</v>
      </c>
    </row>
    <row r="232" spans="1:12" ht="15" thickBot="1" x14ac:dyDescent="0.4">
      <c r="C232" s="781" t="str">
        <f>template_label_total_annual_mass_flow_of_relevant_materials_used_volume</f>
        <v>Total annual mass-flow of relevant materials used (volume in m³)</v>
      </c>
      <c r="D232" s="782"/>
      <c r="E232" s="782"/>
      <c r="F232" s="782"/>
      <c r="G232" s="678" t="str">
        <f>IF(AND(G216="",G217="",J216="",J217="",G218="",J218=""),"-",SUMIF(J216:J225, "cubic meters (m3)", G216:G225))</f>
        <v>-</v>
      </c>
      <c r="H232" s="678"/>
      <c r="I232" s="678"/>
      <c r="J232" s="142" t="str">
        <f>template_label_cubic_meters</f>
        <v>cubic meters (m³)</v>
      </c>
      <c r="K232" s="17"/>
    </row>
    <row r="233" spans="1:12" ht="15" thickBot="1" x14ac:dyDescent="0.4">
      <c r="D233" s="12"/>
      <c r="E233" s="12"/>
      <c r="F233" s="12"/>
      <c r="G233" s="12"/>
      <c r="H233" s="12"/>
      <c r="I233" s="12"/>
      <c r="J233" s="12"/>
    </row>
    <row r="234" spans="1:12" x14ac:dyDescent="0.35">
      <c r="C234" s="789" t="str">
        <f>template_label_c4_climate_risks&amp;" "&amp;template_label_from&amp;" "&amp;template_starting_date_display&amp;" "&amp;template_label_to&amp;" "&amp;template_ending_date_display&amp;" "&amp;template_label_if_applicable</f>
        <v>C4 – Climate risks from - to - [If applicable]</v>
      </c>
      <c r="D234" s="790"/>
      <c r="E234" s="790"/>
      <c r="F234" s="790"/>
      <c r="G234" s="790"/>
      <c r="H234" s="790"/>
      <c r="I234" s="790"/>
      <c r="J234" s="790"/>
      <c r="K234" s="791"/>
    </row>
    <row r="235" spans="1:12" ht="39.65" customHeight="1" x14ac:dyDescent="0.35">
      <c r="C235" s="637" t="str">
        <f>template_label_has_the_undertaking_identified_climate_related_hazards_and_climate_related_transition_events</f>
        <v>Has the undertaking identified climate-related hazards and climate-related transition events creating gross climate-related risks for the undertaking?</v>
      </c>
      <c r="D235" s="795"/>
      <c r="E235" s="796" t="b">
        <v>0</v>
      </c>
      <c r="F235" s="797"/>
      <c r="G235" s="797"/>
      <c r="H235" s="797"/>
      <c r="I235" s="797"/>
      <c r="J235" s="797"/>
      <c r="K235" s="798"/>
    </row>
    <row r="236" spans="1:12" x14ac:dyDescent="0.35">
      <c r="A236" s="462" t="s">
        <v>3751</v>
      </c>
      <c r="B236" s="462" t="s">
        <v>5659</v>
      </c>
      <c r="C236" s="605" t="str">
        <f>template_label_description_of_climate_related_hazards_and_climate_related_transition_events</f>
        <v>Description of climate-related hazards and climate-related transition events</v>
      </c>
      <c r="D236" s="605"/>
      <c r="E236" s="649"/>
      <c r="F236" s="650"/>
      <c r="G236" s="650"/>
      <c r="H236" s="650"/>
      <c r="I236" s="650"/>
      <c r="J236" s="650"/>
      <c r="K236" s="651"/>
      <c r="L236" s="16" t="str">
        <f>IF(AND($E$235=TRUE,E236&lt;&gt;""),
    template_label_ok,
    IF(AND($E$235=TRUE,G236=""),
        template_label_missing_value,
        ""
    )
)</f>
        <v/>
      </c>
    </row>
    <row r="237" spans="1:12" x14ac:dyDescent="0.35">
      <c r="A237" s="462" t="s">
        <v>3752</v>
      </c>
      <c r="B237" s="462" t="s">
        <v>5659</v>
      </c>
      <c r="C237" s="605" t="str">
        <f>template_label_disclosure_of_how_it_has_assessed_the_exposure_and_sensitivity_of_its_assets</f>
        <v>Disclosure of how it has assessed the exposure and sensitivity of its assets activities and value chain to these hazards and transition events</v>
      </c>
      <c r="D237" s="605"/>
      <c r="E237" s="649"/>
      <c r="F237" s="650"/>
      <c r="G237" s="650"/>
      <c r="H237" s="650"/>
      <c r="I237" s="650"/>
      <c r="J237" s="650"/>
      <c r="K237" s="651"/>
      <c r="L237" s="16" t="str">
        <f>IF(AND($E$235=TRUE,E237&lt;&gt;""),
    template_label_ok,
    IF(AND($E$235=TRUE,G237=""),
        template_label_missing_value,
        ""
    )
)</f>
        <v/>
      </c>
    </row>
    <row r="238" spans="1:12" x14ac:dyDescent="0.35">
      <c r="A238" s="462" t="s">
        <v>3753</v>
      </c>
      <c r="B238" s="462" t="s">
        <v>5659</v>
      </c>
      <c r="C238" s="605" t="str">
        <f>template_label_time_horizons_of_any_climate_related_hazards_and_transition_events_identified</f>
        <v>Time horizons of any climate-related hazards and transition events identified</v>
      </c>
      <c r="D238" s="605"/>
      <c r="E238" s="649"/>
      <c r="F238" s="650"/>
      <c r="G238" s="650"/>
      <c r="H238" s="650"/>
      <c r="I238" s="650"/>
      <c r="J238" s="650"/>
      <c r="K238" s="651"/>
      <c r="L238" s="16" t="str">
        <f>IF(AND($E$235=TRUE,E238&lt;&gt;""),
    template_label_ok,
    IF(AND($E$235=TRUE,G238=""),
        template_label_missing_value,
        ""
    )
)</f>
        <v/>
      </c>
    </row>
    <row r="239" spans="1:12" ht="27" customHeight="1" x14ac:dyDescent="0.35">
      <c r="A239" s="462" t="s">
        <v>3754</v>
      </c>
      <c r="B239" s="462" t="s">
        <v>5659</v>
      </c>
      <c r="C239" s="605" t="str">
        <f>template_label_disclosure_of_whether_it_has_undertaken_climate_change_adaptation_actions</f>
        <v>Disclosure of whether it has undertaken climate change adaptation actions for any climate-related hazards and transition events</v>
      </c>
      <c r="D239" s="605"/>
      <c r="E239" s="792"/>
      <c r="F239" s="793"/>
      <c r="G239" s="793"/>
      <c r="H239" s="793"/>
      <c r="I239" s="793"/>
      <c r="J239" s="793"/>
      <c r="K239" s="794"/>
      <c r="L239" s="16" t="str">
        <f>IF(AND($E$235=TRUE,E239&lt;&gt;""),
    template_label_ok,
    IF(AND($E$235=TRUE,G239=""),
        template_label_missing_value,
        ""
    )
)</f>
        <v/>
      </c>
    </row>
    <row r="240" spans="1:12" ht="29.4" customHeight="1" thickBot="1" x14ac:dyDescent="0.4">
      <c r="A240" s="462">
        <v>58</v>
      </c>
      <c r="B240" s="462" t="s">
        <v>5659</v>
      </c>
      <c r="C240" s="552" t="str">
        <f>template_label_potential_adverse_effects_of_climate_risks &amp; " - " &amp; template_label_may_not_headline</f>
        <v>Potential adverse effects of climate risks that may affect its financial performance or business operations in the short- medium- or long-term indicating whether it assesses the risks to be high medium or low - May (optional)</v>
      </c>
      <c r="D240" s="552"/>
      <c r="E240" s="652"/>
      <c r="F240" s="653"/>
      <c r="G240" s="653"/>
      <c r="H240" s="653"/>
      <c r="I240" s="653"/>
      <c r="J240" s="653"/>
      <c r="K240" s="654"/>
      <c r="L240" s="16" t="str">
        <f>IF(AND($E$235=TRUE,E240&lt;&gt;""),
    template_label_ok,
    ""
)</f>
        <v/>
      </c>
    </row>
    <row r="241" spans="3:13" ht="15" thickBot="1" x14ac:dyDescent="0.4"/>
    <row r="242" spans="3:13" x14ac:dyDescent="0.35">
      <c r="C242" s="540" t="str">
        <f>template_label_disclosure_of_any_other_environmental_and_or_entity_specific_environmental_disclosures&amp;" "&amp;template_label_from&amp;" "&amp;template_starting_date_display&amp;" "&amp;template_label_to&amp;" "&amp;template_ending_date_display&amp;" " &amp; template_label_may</f>
        <v>Disclosure of any other environmental and or entity specific environmental disclosures from - to - [May (optional)]</v>
      </c>
      <c r="D242" s="541"/>
      <c r="E242" s="541"/>
      <c r="F242" s="541"/>
      <c r="G242" s="541"/>
      <c r="H242" s="541"/>
      <c r="I242" s="541"/>
      <c r="J242" s="541"/>
      <c r="K242" s="541"/>
      <c r="L242" s="542"/>
    </row>
    <row r="243" spans="3:13" x14ac:dyDescent="0.35">
      <c r="C243" s="516">
        <v>10</v>
      </c>
      <c r="D243" s="517"/>
      <c r="E243" s="517"/>
      <c r="F243" s="517"/>
      <c r="G243" s="517"/>
      <c r="H243" s="517"/>
      <c r="I243" s="517"/>
      <c r="J243" s="517"/>
      <c r="K243" s="517"/>
      <c r="L243" s="518"/>
      <c r="M243" s="8"/>
    </row>
    <row r="244" spans="3:13" ht="15" thickBot="1" x14ac:dyDescent="0.4">
      <c r="C244" s="534"/>
      <c r="D244" s="535"/>
      <c r="E244" s="535"/>
      <c r="F244" s="535"/>
      <c r="G244" s="535"/>
      <c r="H244" s="535"/>
      <c r="I244" s="535"/>
      <c r="J244" s="535"/>
      <c r="K244" s="535"/>
      <c r="L244" s="535"/>
      <c r="M244" s="105" t="str">
        <f>IF(C244&lt;&gt;"", template_label_ok, "")</f>
        <v/>
      </c>
    </row>
  </sheetData>
  <sheetProtection algorithmName="SHA-512" hashValue="4aRM1PTfT1meLSfa2v2/xx+TF0xWFuolUMJCcGcxPHfxUZmttHmZ2ksxk2W7BqoLD2sgAmIxHZeAIpdVlPh8QA==" saltValue="NeVqRLwOJmFAW/ra1dM8Gg==" spinCount="100000" sheet="1" formatColumns="0" formatRows="0" insertRows="0"/>
  <mergeCells count="407">
    <mergeCell ref="D228:F228"/>
    <mergeCell ref="D226:F226"/>
    <mergeCell ref="G226:I226"/>
    <mergeCell ref="D227:F227"/>
    <mergeCell ref="C213:J213"/>
    <mergeCell ref="C211:J211"/>
    <mergeCell ref="C212:J212"/>
    <mergeCell ref="C214:F214"/>
    <mergeCell ref="G214:J214"/>
    <mergeCell ref="D209:F209"/>
    <mergeCell ref="D215:F215"/>
    <mergeCell ref="D216:F216"/>
    <mergeCell ref="D217:F217"/>
    <mergeCell ref="D218:F218"/>
    <mergeCell ref="D220:F220"/>
    <mergeCell ref="G116:I116"/>
    <mergeCell ref="G124:K124"/>
    <mergeCell ref="G115:I115"/>
    <mergeCell ref="D133:F133"/>
    <mergeCell ref="D134:F134"/>
    <mergeCell ref="D143:F143"/>
    <mergeCell ref="D146:F146"/>
    <mergeCell ref="D197:F197"/>
    <mergeCell ref="D183:G183"/>
    <mergeCell ref="D207:F207"/>
    <mergeCell ref="D208:F208"/>
    <mergeCell ref="D195:F195"/>
    <mergeCell ref="D193:F193"/>
    <mergeCell ref="G190:I190"/>
    <mergeCell ref="G207:I207"/>
    <mergeCell ref="G132:I132"/>
    <mergeCell ref="J204:L204"/>
    <mergeCell ref="J205:L205"/>
    <mergeCell ref="G229:I229"/>
    <mergeCell ref="G230:I230"/>
    <mergeCell ref="G228:I228"/>
    <mergeCell ref="J209:L209"/>
    <mergeCell ref="J208:L208"/>
    <mergeCell ref="G208:I208"/>
    <mergeCell ref="G209:I209"/>
    <mergeCell ref="G205:I205"/>
    <mergeCell ref="D148:F148"/>
    <mergeCell ref="D149:F149"/>
    <mergeCell ref="D160:F160"/>
    <mergeCell ref="G202:I202"/>
    <mergeCell ref="G206:I206"/>
    <mergeCell ref="G204:I204"/>
    <mergeCell ref="D205:F205"/>
    <mergeCell ref="D206:F206"/>
    <mergeCell ref="D202:F202"/>
    <mergeCell ref="D204:F204"/>
    <mergeCell ref="D201:F201"/>
    <mergeCell ref="G201:I201"/>
    <mergeCell ref="D162:F162"/>
    <mergeCell ref="D163:F163"/>
    <mergeCell ref="D164:F164"/>
    <mergeCell ref="E170:F170"/>
    <mergeCell ref="G146:I146"/>
    <mergeCell ref="G194:I194"/>
    <mergeCell ref="G195:I195"/>
    <mergeCell ref="G196:I196"/>
    <mergeCell ref="G161:G164"/>
    <mergeCell ref="G152:I152"/>
    <mergeCell ref="G192:I192"/>
    <mergeCell ref="G193:I193"/>
    <mergeCell ref="C179:G179"/>
    <mergeCell ref="C180:G180"/>
    <mergeCell ref="C181:G181"/>
    <mergeCell ref="C167:D167"/>
    <mergeCell ref="C168:D168"/>
    <mergeCell ref="C173:D173"/>
    <mergeCell ref="C166:D166"/>
    <mergeCell ref="H182:I182"/>
    <mergeCell ref="C186:L186"/>
    <mergeCell ref="C187:L187"/>
    <mergeCell ref="D182:G182"/>
    <mergeCell ref="D200:F200"/>
    <mergeCell ref="C172:D172"/>
    <mergeCell ref="C174:D174"/>
    <mergeCell ref="E176:F176"/>
    <mergeCell ref="C185:L185"/>
    <mergeCell ref="E169:F169"/>
    <mergeCell ref="D88:F88"/>
    <mergeCell ref="D89:F89"/>
    <mergeCell ref="D196:F196"/>
    <mergeCell ref="D194:F194"/>
    <mergeCell ref="H183:I183"/>
    <mergeCell ref="D144:F144"/>
    <mergeCell ref="D145:F145"/>
    <mergeCell ref="D147:F147"/>
    <mergeCell ref="D105:F105"/>
    <mergeCell ref="G99:I99"/>
    <mergeCell ref="D198:F198"/>
    <mergeCell ref="D199:F199"/>
    <mergeCell ref="G191:I191"/>
    <mergeCell ref="G109:I109"/>
    <mergeCell ref="G117:I117"/>
    <mergeCell ref="G150:I150"/>
    <mergeCell ref="G151:I151"/>
    <mergeCell ref="G145:I145"/>
    <mergeCell ref="G101:I101"/>
    <mergeCell ref="G102:I102"/>
    <mergeCell ref="G103:I103"/>
    <mergeCell ref="D127:F127"/>
    <mergeCell ref="G119:I119"/>
    <mergeCell ref="G110:I110"/>
    <mergeCell ref="G111:I111"/>
    <mergeCell ref="G112:I112"/>
    <mergeCell ref="G113:I113"/>
    <mergeCell ref="G114:I114"/>
    <mergeCell ref="G106:I106"/>
    <mergeCell ref="G107:I107"/>
    <mergeCell ref="G105:I105"/>
    <mergeCell ref="C126:K126"/>
    <mergeCell ref="D102:F102"/>
    <mergeCell ref="D103:F103"/>
    <mergeCell ref="D104:F104"/>
    <mergeCell ref="J206:L206"/>
    <mergeCell ref="J207:L207"/>
    <mergeCell ref="C204:C209"/>
    <mergeCell ref="C7:K7"/>
    <mergeCell ref="C8:K8"/>
    <mergeCell ref="C9:K9"/>
    <mergeCell ref="D203:F203"/>
    <mergeCell ref="G197:I197"/>
    <mergeCell ref="G198:I198"/>
    <mergeCell ref="G199:I199"/>
    <mergeCell ref="G200:I200"/>
    <mergeCell ref="D150:F150"/>
    <mergeCell ref="D151:F151"/>
    <mergeCell ref="D152:F152"/>
    <mergeCell ref="D190:F190"/>
    <mergeCell ref="D191:F191"/>
    <mergeCell ref="G203:I203"/>
    <mergeCell ref="D188:F188"/>
    <mergeCell ref="D189:F189"/>
    <mergeCell ref="D192:F192"/>
    <mergeCell ref="G188:I188"/>
    <mergeCell ref="G189:I189"/>
    <mergeCell ref="G25:I25"/>
    <mergeCell ref="G26:I26"/>
    <mergeCell ref="G24:I24"/>
    <mergeCell ref="C73:K73"/>
    <mergeCell ref="D47:F47"/>
    <mergeCell ref="G47:I47"/>
    <mergeCell ref="C67:F67"/>
    <mergeCell ref="G67:K67"/>
    <mergeCell ref="G29:K29"/>
    <mergeCell ref="D44:F44"/>
    <mergeCell ref="D24:F24"/>
    <mergeCell ref="D28:F28"/>
    <mergeCell ref="D45:F45"/>
    <mergeCell ref="D25:F25"/>
    <mergeCell ref="D26:F26"/>
    <mergeCell ref="C27:F27"/>
    <mergeCell ref="D43:F43"/>
    <mergeCell ref="D34:F34"/>
    <mergeCell ref="D35:F35"/>
    <mergeCell ref="D40:F40"/>
    <mergeCell ref="D41:F41"/>
    <mergeCell ref="G20:I20"/>
    <mergeCell ref="G90:I90"/>
    <mergeCell ref="G91:I91"/>
    <mergeCell ref="G92:I92"/>
    <mergeCell ref="G93:I93"/>
    <mergeCell ref="G94:I94"/>
    <mergeCell ref="G75:K75"/>
    <mergeCell ref="D79:F79"/>
    <mergeCell ref="G79:I79"/>
    <mergeCell ref="D46:F46"/>
    <mergeCell ref="D57:K57"/>
    <mergeCell ref="D58:K58"/>
    <mergeCell ref="C52:K52"/>
    <mergeCell ref="C50:K50"/>
    <mergeCell ref="C49:K49"/>
    <mergeCell ref="C71:K71"/>
    <mergeCell ref="G68:K68"/>
    <mergeCell ref="C76:F76"/>
    <mergeCell ref="G21:I21"/>
    <mergeCell ref="G22:I22"/>
    <mergeCell ref="G46:I46"/>
    <mergeCell ref="C72:K72"/>
    <mergeCell ref="G23:I23"/>
    <mergeCell ref="G27:J27"/>
    <mergeCell ref="G28:I28"/>
    <mergeCell ref="C77:K77"/>
    <mergeCell ref="C78:K78"/>
    <mergeCell ref="C75:F75"/>
    <mergeCell ref="D62:K62"/>
    <mergeCell ref="C66:F66"/>
    <mergeCell ref="D56:K56"/>
    <mergeCell ref="G74:K74"/>
    <mergeCell ref="G85:I85"/>
    <mergeCell ref="D42:F42"/>
    <mergeCell ref="G40:I40"/>
    <mergeCell ref="G41:I41"/>
    <mergeCell ref="G42:I42"/>
    <mergeCell ref="G43:I43"/>
    <mergeCell ref="G86:I86"/>
    <mergeCell ref="D83:F83"/>
    <mergeCell ref="D84:F84"/>
    <mergeCell ref="D85:F85"/>
    <mergeCell ref="D86:F86"/>
    <mergeCell ref="G69:K69"/>
    <mergeCell ref="G76:K76"/>
    <mergeCell ref="C74:F74"/>
    <mergeCell ref="G87:I87"/>
    <mergeCell ref="D87:F87"/>
    <mergeCell ref="G88:I88"/>
    <mergeCell ref="G89:I89"/>
    <mergeCell ref="G100:I100"/>
    <mergeCell ref="D96:F96"/>
    <mergeCell ref="D135:F135"/>
    <mergeCell ref="C122:K122"/>
    <mergeCell ref="C125:K125"/>
    <mergeCell ref="D137:F137"/>
    <mergeCell ref="D110:F110"/>
    <mergeCell ref="D119:F119"/>
    <mergeCell ref="C121:K121"/>
    <mergeCell ref="C123:K123"/>
    <mergeCell ref="G127:I127"/>
    <mergeCell ref="G128:I128"/>
    <mergeCell ref="G129:I129"/>
    <mergeCell ref="G130:I130"/>
    <mergeCell ref="G131:I131"/>
    <mergeCell ref="G133:I133"/>
    <mergeCell ref="G134:I134"/>
    <mergeCell ref="G135:I135"/>
    <mergeCell ref="G136:I136"/>
    <mergeCell ref="G118:I118"/>
    <mergeCell ref="C124:F124"/>
    <mergeCell ref="D92:F92"/>
    <mergeCell ref="C244:L244"/>
    <mergeCell ref="C234:K234"/>
    <mergeCell ref="C242:L242"/>
    <mergeCell ref="E236:K236"/>
    <mergeCell ref="E237:K237"/>
    <mergeCell ref="E239:K239"/>
    <mergeCell ref="E238:K238"/>
    <mergeCell ref="E240:K240"/>
    <mergeCell ref="C239:D239"/>
    <mergeCell ref="C240:D240"/>
    <mergeCell ref="C236:D236"/>
    <mergeCell ref="C237:D237"/>
    <mergeCell ref="C238:D238"/>
    <mergeCell ref="C235:D235"/>
    <mergeCell ref="E235:K235"/>
    <mergeCell ref="C243:L243"/>
    <mergeCell ref="G232:I232"/>
    <mergeCell ref="G231:I231"/>
    <mergeCell ref="G215:I215"/>
    <mergeCell ref="C232:F232"/>
    <mergeCell ref="D225:F225"/>
    <mergeCell ref="D224:F224"/>
    <mergeCell ref="D223:F223"/>
    <mergeCell ref="D222:F222"/>
    <mergeCell ref="D221:F221"/>
    <mergeCell ref="C231:F231"/>
    <mergeCell ref="G216:I216"/>
    <mergeCell ref="G217:I217"/>
    <mergeCell ref="G218:I218"/>
    <mergeCell ref="G219:I219"/>
    <mergeCell ref="G220:I220"/>
    <mergeCell ref="G221:I221"/>
    <mergeCell ref="G222:I222"/>
    <mergeCell ref="G223:I223"/>
    <mergeCell ref="G224:I224"/>
    <mergeCell ref="G225:I225"/>
    <mergeCell ref="D219:F219"/>
    <mergeCell ref="D229:F229"/>
    <mergeCell ref="D230:F230"/>
    <mergeCell ref="G227:I227"/>
    <mergeCell ref="D128:F128"/>
    <mergeCell ref="D129:F129"/>
    <mergeCell ref="D106:F106"/>
    <mergeCell ref="D107:F107"/>
    <mergeCell ref="D108:F108"/>
    <mergeCell ref="D109:F109"/>
    <mergeCell ref="D93:F93"/>
    <mergeCell ref="D101:F101"/>
    <mergeCell ref="D98:F98"/>
    <mergeCell ref="D94:F94"/>
    <mergeCell ref="D95:F95"/>
    <mergeCell ref="D113:F113"/>
    <mergeCell ref="D112:F112"/>
    <mergeCell ref="D111:F111"/>
    <mergeCell ref="D100:F100"/>
    <mergeCell ref="D130:F130"/>
    <mergeCell ref="G153:I153"/>
    <mergeCell ref="D153:F153"/>
    <mergeCell ref="C156:F156"/>
    <mergeCell ref="G97:I97"/>
    <mergeCell ref="G98:I98"/>
    <mergeCell ref="C158:F158"/>
    <mergeCell ref="C159:F159"/>
    <mergeCell ref="G147:I147"/>
    <mergeCell ref="G148:I148"/>
    <mergeCell ref="G149:I149"/>
    <mergeCell ref="D136:F136"/>
    <mergeCell ref="D139:F139"/>
    <mergeCell ref="D140:F140"/>
    <mergeCell ref="D141:F141"/>
    <mergeCell ref="D142:F142"/>
    <mergeCell ref="G137:I137"/>
    <mergeCell ref="G138:I138"/>
    <mergeCell ref="G139:I139"/>
    <mergeCell ref="G140:I140"/>
    <mergeCell ref="G141:I141"/>
    <mergeCell ref="G143:I143"/>
    <mergeCell ref="G144:I144"/>
    <mergeCell ref="G104:I104"/>
    <mergeCell ref="D161:F161"/>
    <mergeCell ref="C157:F157"/>
    <mergeCell ref="D91:F91"/>
    <mergeCell ref="C155:F155"/>
    <mergeCell ref="G142:I142"/>
    <mergeCell ref="C11:F11"/>
    <mergeCell ref="D90:F90"/>
    <mergeCell ref="D99:F99"/>
    <mergeCell ref="D118:F118"/>
    <mergeCell ref="D117:F117"/>
    <mergeCell ref="D116:F116"/>
    <mergeCell ref="D115:F115"/>
    <mergeCell ref="D114:F114"/>
    <mergeCell ref="C14:F14"/>
    <mergeCell ref="C19:F19"/>
    <mergeCell ref="C29:F29"/>
    <mergeCell ref="D20:F20"/>
    <mergeCell ref="D21:F21"/>
    <mergeCell ref="C68:F68"/>
    <mergeCell ref="C69:F69"/>
    <mergeCell ref="D36:F36"/>
    <mergeCell ref="D37:F37"/>
    <mergeCell ref="D38:F38"/>
    <mergeCell ref="D39:F39"/>
    <mergeCell ref="C2:K2"/>
    <mergeCell ref="C4:K4"/>
    <mergeCell ref="C3:K3"/>
    <mergeCell ref="G66:K66"/>
    <mergeCell ref="C51:K51"/>
    <mergeCell ref="C65:K65"/>
    <mergeCell ref="C64:K64"/>
    <mergeCell ref="C55:K55"/>
    <mergeCell ref="C16:F16"/>
    <mergeCell ref="C17:F17"/>
    <mergeCell ref="D18:F18"/>
    <mergeCell ref="D22:F22"/>
    <mergeCell ref="G16:K16"/>
    <mergeCell ref="C5:F5"/>
    <mergeCell ref="C12:F12"/>
    <mergeCell ref="C13:F13"/>
    <mergeCell ref="G12:I12"/>
    <mergeCell ref="G13:I13"/>
    <mergeCell ref="G14:I14"/>
    <mergeCell ref="G11:I11"/>
    <mergeCell ref="G17:I17"/>
    <mergeCell ref="G18:I18"/>
    <mergeCell ref="G5:K5"/>
    <mergeCell ref="G39:I39"/>
    <mergeCell ref="L12:L14"/>
    <mergeCell ref="G19:I19"/>
    <mergeCell ref="C10:F10"/>
    <mergeCell ref="G10:K10"/>
    <mergeCell ref="D131:F131"/>
    <mergeCell ref="D132:F132"/>
    <mergeCell ref="D138:F138"/>
    <mergeCell ref="G80:I80"/>
    <mergeCell ref="G81:I81"/>
    <mergeCell ref="G108:I108"/>
    <mergeCell ref="G82:I82"/>
    <mergeCell ref="G83:I83"/>
    <mergeCell ref="G84:I84"/>
    <mergeCell ref="G95:I95"/>
    <mergeCell ref="G96:I96"/>
    <mergeCell ref="D80:F80"/>
    <mergeCell ref="D81:F81"/>
    <mergeCell ref="D82:F82"/>
    <mergeCell ref="D97:F97"/>
    <mergeCell ref="D30:F30"/>
    <mergeCell ref="D31:F31"/>
    <mergeCell ref="D32:F32"/>
    <mergeCell ref="D33:F33"/>
    <mergeCell ref="D23:F23"/>
    <mergeCell ref="A21:B26"/>
    <mergeCell ref="M30:U45"/>
    <mergeCell ref="L59:L61"/>
    <mergeCell ref="A59:A62"/>
    <mergeCell ref="B59:B62"/>
    <mergeCell ref="C59:C62"/>
    <mergeCell ref="D59:H59"/>
    <mergeCell ref="D60:H60"/>
    <mergeCell ref="D61:H61"/>
    <mergeCell ref="I59:K59"/>
    <mergeCell ref="I60:K60"/>
    <mergeCell ref="I61:K61"/>
    <mergeCell ref="G32:I32"/>
    <mergeCell ref="G33:I33"/>
    <mergeCell ref="G34:I34"/>
    <mergeCell ref="G44:I44"/>
    <mergeCell ref="L30:L44"/>
    <mergeCell ref="G45:I45"/>
    <mergeCell ref="G35:I35"/>
    <mergeCell ref="G36:I36"/>
    <mergeCell ref="G37:I37"/>
    <mergeCell ref="G38:I38"/>
    <mergeCell ref="G30:I30"/>
    <mergeCell ref="G31:I31"/>
  </mergeCells>
  <phoneticPr fontId="3" type="noConversion"/>
  <conditionalFormatting sqref="C52:K52">
    <cfRule type="expression" dxfId="127" priority="161">
      <formula>$J$19=TRUE</formula>
    </cfRule>
  </conditionalFormatting>
  <conditionalFormatting sqref="C78:K78">
    <cfRule type="expression" dxfId="126" priority="146">
      <formula>$G$75=TRUE</formula>
    </cfRule>
    <cfRule type="expression" dxfId="125" priority="158">
      <formula>$G$74=TRUE</formula>
    </cfRule>
    <cfRule type="expression" dxfId="124" priority="168">
      <formula>$G$75=TRUE</formula>
    </cfRule>
  </conditionalFormatting>
  <conditionalFormatting sqref="C126:K126 G129:I152 J129:K153 G153">
    <cfRule type="expression" dxfId="123" priority="156">
      <formula>$G$124=TRUE</formula>
    </cfRule>
  </conditionalFormatting>
  <conditionalFormatting sqref="D58">
    <cfRule type="expression" dxfId="122" priority="182">
      <formula>AND($D$56=TRUE,$D$57="A transition plan has already been adopted")</formula>
    </cfRule>
  </conditionalFormatting>
  <conditionalFormatting sqref="D176">
    <cfRule type="expression" dxfId="121" priority="153">
      <formula>$D$175=TRUE</formula>
    </cfRule>
  </conditionalFormatting>
  <conditionalFormatting sqref="D30:F44">
    <cfRule type="expression" dxfId="120" priority="31">
      <formula>$G$29=TRUE</formula>
    </cfRule>
  </conditionalFormatting>
  <conditionalFormatting sqref="D45:F47">
    <cfRule type="expression" dxfId="119" priority="29">
      <formula>$G$29=FALSE</formula>
    </cfRule>
  </conditionalFormatting>
  <conditionalFormatting sqref="D80:F119">
    <cfRule type="expression" dxfId="118" priority="20">
      <formula>$G$75=TRUE</formula>
    </cfRule>
    <cfRule type="expression" dxfId="117" priority="19">
      <formula>$G$74=TRUE</formula>
    </cfRule>
  </conditionalFormatting>
  <conditionalFormatting sqref="D128:F128">
    <cfRule type="expression" dxfId="116" priority="25">
      <formula>$D$128="VALUE INCONSISTENCY"</formula>
    </cfRule>
  </conditionalFormatting>
  <conditionalFormatting sqref="D129:F153">
    <cfRule type="expression" dxfId="115" priority="80">
      <formula>$D129="VALUE INCONSISTENCY"</formula>
    </cfRule>
  </conditionalFormatting>
  <conditionalFormatting sqref="D183:G183">
    <cfRule type="expression" dxfId="114" priority="190">
      <formula>$D$182="YES"</formula>
    </cfRule>
  </conditionalFormatting>
  <conditionalFormatting sqref="D80:I80 G81:I82 D81:F119">
    <cfRule type="expression" dxfId="113" priority="17">
      <formula>$G$75=TRUE</formula>
    </cfRule>
  </conditionalFormatting>
  <conditionalFormatting sqref="D216:J225 D226:D230 J226:J230 G229:J229 G230">
    <cfRule type="expression" dxfId="112" priority="8">
      <formula>$G$214=TRUE</formula>
    </cfRule>
  </conditionalFormatting>
  <conditionalFormatting sqref="D57:K57">
    <cfRule type="expression" dxfId="111" priority="3">
      <formula>$D$56=FALSE</formula>
    </cfRule>
  </conditionalFormatting>
  <conditionalFormatting sqref="D59:K62">
    <cfRule type="expression" dxfId="110" priority="4">
      <formula>$D$57=""</formula>
    </cfRule>
    <cfRule type="expression" dxfId="109" priority="5">
      <formula>$D$57="A transition plan has already been adopted"</formula>
    </cfRule>
  </conditionalFormatting>
  <conditionalFormatting sqref="E169:E170">
    <cfRule type="expression" dxfId="108" priority="221">
      <formula>$E169=template_label_missing_value</formula>
    </cfRule>
    <cfRule type="expression" dxfId="107" priority="220">
      <formula>$E169=template_label_ok</formula>
    </cfRule>
  </conditionalFormatting>
  <conditionalFormatting sqref="E176">
    <cfRule type="expression" dxfId="106" priority="196">
      <formula>$E$176=template_label_missing_value</formula>
    </cfRule>
    <cfRule type="expression" dxfId="105" priority="197">
      <formula>$E$176=template_label_ok</formula>
    </cfRule>
  </conditionalFormatting>
  <conditionalFormatting sqref="E236:K240">
    <cfRule type="expression" dxfId="104" priority="149">
      <formula>$E$235=TRUE</formula>
    </cfRule>
  </conditionalFormatting>
  <conditionalFormatting sqref="G76">
    <cfRule type="expression" dxfId="103" priority="173">
      <formula>$G$75=TRUE</formula>
    </cfRule>
  </conditionalFormatting>
  <conditionalFormatting sqref="G159:G161">
    <cfRule type="expression" dxfId="102" priority="143">
      <formula>$G159=template_label_missing_value</formula>
    </cfRule>
    <cfRule type="expression" dxfId="101" priority="144">
      <formula>$G159=template_label_ok</formula>
    </cfRule>
    <cfRule type="expression" dxfId="100" priority="23">
      <formula>$G159=template_label_value_inconsistency</formula>
    </cfRule>
  </conditionalFormatting>
  <conditionalFormatting sqref="G226:G227">
    <cfRule type="expression" dxfId="99" priority="151">
      <formula>$G$214=TRUE</formula>
    </cfRule>
  </conditionalFormatting>
  <conditionalFormatting sqref="G80:I82">
    <cfRule type="expression" dxfId="98" priority="16">
      <formula>$G$74=TRUE</formula>
    </cfRule>
  </conditionalFormatting>
  <conditionalFormatting sqref="G228:I228">
    <cfRule type="expression" dxfId="97" priority="26">
      <formula>$G$214=TRUE</formula>
    </cfRule>
  </conditionalFormatting>
  <conditionalFormatting sqref="G12:J13">
    <cfRule type="expression" dxfId="96" priority="165">
      <formula>$G$10=TRUE</formula>
    </cfRule>
  </conditionalFormatting>
  <conditionalFormatting sqref="G14:J14">
    <cfRule type="expression" dxfId="95" priority="34">
      <formula>$G$10=FALSE</formula>
    </cfRule>
  </conditionalFormatting>
  <conditionalFormatting sqref="G21:J24">
    <cfRule type="expression" dxfId="94" priority="164">
      <formula>$J$19=TRUE</formula>
    </cfRule>
  </conditionalFormatting>
  <conditionalFormatting sqref="G30:J44">
    <cfRule type="expression" dxfId="93" priority="30">
      <formula>AND($G$29=TRUE,$J$19=TRUE)</formula>
    </cfRule>
  </conditionalFormatting>
  <conditionalFormatting sqref="G45:J47">
    <cfRule type="expression" dxfId="92" priority="28">
      <formula>OR($J$19=FALSE,$G$29=FALSE)</formula>
    </cfRule>
  </conditionalFormatting>
  <conditionalFormatting sqref="G80:J82">
    <cfRule type="expression" dxfId="91" priority="14">
      <formula>$G$75=TRUE</formula>
    </cfRule>
  </conditionalFormatting>
  <conditionalFormatting sqref="G10:K10">
    <cfRule type="expression" dxfId="90" priority="166">
      <formula>$D$105="YES"</formula>
    </cfRule>
  </conditionalFormatting>
  <conditionalFormatting sqref="G68:K69">
    <cfRule type="expression" dxfId="89" priority="93">
      <formula>$G$29=FALSE</formula>
    </cfRule>
  </conditionalFormatting>
  <conditionalFormatting sqref="G75:K75">
    <cfRule type="expression" dxfId="88" priority="159">
      <formula>$G$74=TRUE</formula>
    </cfRule>
  </conditionalFormatting>
  <conditionalFormatting sqref="G83:K119">
    <cfRule type="expression" dxfId="87" priority="172">
      <formula>$G$75=TRUE</formula>
    </cfRule>
    <cfRule type="expression" dxfId="86" priority="160">
      <formula>$G$74=TRUE</formula>
    </cfRule>
    <cfRule type="expression" dxfId="85" priority="157">
      <formula>$G$75=TRUE</formula>
    </cfRule>
  </conditionalFormatting>
  <conditionalFormatting sqref="G128:K128">
    <cfRule type="expression" dxfId="84" priority="155">
      <formula>$G$124=TRUE</formula>
    </cfRule>
  </conditionalFormatting>
  <conditionalFormatting sqref="H182">
    <cfRule type="expression" dxfId="83" priority="192">
      <formula>$H$182=template_label_missing_value</formula>
    </cfRule>
    <cfRule type="expression" dxfId="82" priority="191">
      <formula>$H$182=template_label_ok</formula>
    </cfRule>
  </conditionalFormatting>
  <conditionalFormatting sqref="H183">
    <cfRule type="expression" dxfId="81" priority="189">
      <formula>$H$183=template_label_ok</formula>
    </cfRule>
    <cfRule type="expression" dxfId="80" priority="188">
      <formula>$H$183=template_label_missing_value</formula>
    </cfRule>
    <cfRule type="expression" dxfId="79" priority="1">
      <formula>$H$183=template_label_value_inconsistency</formula>
    </cfRule>
  </conditionalFormatting>
  <conditionalFormatting sqref="J80:J82">
    <cfRule type="expression" dxfId="78" priority="13">
      <formula>$G$74=TRUE</formula>
    </cfRule>
  </conditionalFormatting>
  <conditionalFormatting sqref="J80:K82">
    <cfRule type="expression" dxfId="77" priority="11">
      <formula>$G$75=TRUE</formula>
    </cfRule>
  </conditionalFormatting>
  <conditionalFormatting sqref="K30:K44">
    <cfRule type="expression" dxfId="76" priority="2">
      <formula>AND($G30&lt;&gt;"", $J30&lt;&gt;"")</formula>
    </cfRule>
  </conditionalFormatting>
  <conditionalFormatting sqref="K30:K47">
    <cfRule type="expression" dxfId="75" priority="27">
      <formula>OR($J$19=FALSE,$G$29=FALSE)</formula>
    </cfRule>
  </conditionalFormatting>
  <conditionalFormatting sqref="K80:K82">
    <cfRule type="expression" dxfId="74" priority="10">
      <formula>$G$74=TRUE</formula>
    </cfRule>
    <cfRule type="expression" dxfId="73" priority="9">
      <formula>$G$75=TRUE</formula>
    </cfRule>
  </conditionalFormatting>
  <conditionalFormatting sqref="K159:K160">
    <cfRule type="expression" dxfId="72" priority="231">
      <formula>$K$159="OK"</formula>
    </cfRule>
    <cfRule type="expression" dxfId="71" priority="237">
      <formula>$K$159="MISSING VALUE"</formula>
    </cfRule>
  </conditionalFormatting>
  <conditionalFormatting sqref="K161:K164 K166 K232">
    <cfRule type="expression" dxfId="70" priority="223">
      <formula>$K161="OK"</formula>
    </cfRule>
    <cfRule type="expression" dxfId="69" priority="222">
      <formula>$K161="MISSING VALUE"</formula>
    </cfRule>
  </conditionalFormatting>
  <conditionalFormatting sqref="K216:K230">
    <cfRule type="expression" dxfId="68" priority="235">
      <formula>$K216=template_label_missing_value</formula>
    </cfRule>
    <cfRule type="expression" dxfId="67" priority="236">
      <formula>$K216=template_label_ok</formula>
    </cfRule>
  </conditionalFormatting>
  <conditionalFormatting sqref="L5">
    <cfRule type="expression" dxfId="66" priority="195">
      <formula>$L$5=template_label_missing_value</formula>
    </cfRule>
    <cfRule type="expression" dxfId="65" priority="193">
      <formula>$L$5= template_label_ok</formula>
    </cfRule>
  </conditionalFormatting>
  <conditionalFormatting sqref="L12">
    <cfRule type="expression" dxfId="64" priority="24">
      <formula>$L$12=template_label_value_inconsistency</formula>
    </cfRule>
    <cfRule type="expression" dxfId="63" priority="148">
      <formula>$L$12=template_label_missing_value</formula>
    </cfRule>
    <cfRule type="expression" dxfId="62" priority="218">
      <formula>$L12=template_label_ok</formula>
    </cfRule>
  </conditionalFormatting>
  <conditionalFormatting sqref="L21">
    <cfRule type="expression" dxfId="61" priority="201">
      <formula>$L$21=template_label_ok</formula>
    </cfRule>
    <cfRule type="expression" dxfId="60" priority="200">
      <formula>$L$21=template_label_missing_value</formula>
    </cfRule>
  </conditionalFormatting>
  <conditionalFormatting sqref="L22">
    <cfRule type="expression" dxfId="59" priority="211">
      <formula>$L$22="OK"</formula>
    </cfRule>
  </conditionalFormatting>
  <conditionalFormatting sqref="L22:L24">
    <cfRule type="expression" dxfId="58" priority="205">
      <formula>$L22=template_label_missing_value</formula>
    </cfRule>
  </conditionalFormatting>
  <conditionalFormatting sqref="L23:L24">
    <cfRule type="expression" dxfId="0" priority="206">
      <formula>$L23=template_label_ok</formula>
    </cfRule>
  </conditionalFormatting>
  <conditionalFormatting sqref="L30:L44">
    <cfRule type="expression" dxfId="57" priority="32">
      <formula>$L$30=template_label_ok</formula>
    </cfRule>
    <cfRule type="expression" dxfId="56" priority="33">
      <formula>$L$30=template_label_missing_value</formula>
    </cfRule>
  </conditionalFormatting>
  <conditionalFormatting sqref="L45">
    <cfRule type="expression" dxfId="55" priority="383">
      <formula>$L$45="MISSING VALUE"</formula>
    </cfRule>
    <cfRule type="expression" dxfId="54" priority="384">
      <formula>$L$45="OK"</formula>
    </cfRule>
  </conditionalFormatting>
  <conditionalFormatting sqref="L52">
    <cfRule type="expression" dxfId="53" priority="147">
      <formula>$L$52=template_label_missing_value</formula>
    </cfRule>
    <cfRule type="expression" dxfId="52" priority="234">
      <formula>$L$52=template_label_ok</formula>
    </cfRule>
  </conditionalFormatting>
  <conditionalFormatting sqref="L56:L59 L62">
    <cfRule type="expression" dxfId="51" priority="176">
      <formula>$L56=template_label_error</formula>
    </cfRule>
    <cfRule type="expression" dxfId="50" priority="179">
      <formula>$L56=template_label_missing_value</formula>
    </cfRule>
    <cfRule type="expression" dxfId="49" priority="180">
      <formula>$L56=template_label_ok</formula>
    </cfRule>
  </conditionalFormatting>
  <conditionalFormatting sqref="L62">
    <cfRule type="expression" dxfId="48" priority="232">
      <formula>$L$62="OK"</formula>
    </cfRule>
  </conditionalFormatting>
  <conditionalFormatting sqref="L74:L75">
    <cfRule type="expression" dxfId="47" priority="170">
      <formula>$L74=template_label_value_inconsistency</formula>
    </cfRule>
  </conditionalFormatting>
  <conditionalFormatting sqref="L74:L76">
    <cfRule type="expression" dxfId="46" priority="171">
      <formula>$L74=template_label_ok</formula>
    </cfRule>
  </conditionalFormatting>
  <conditionalFormatting sqref="L76">
    <cfRule type="expression" dxfId="45" priority="7">
      <formula>$L$76=template_label_invalid_url</formula>
    </cfRule>
    <cfRule type="expression" dxfId="44" priority="169">
      <formula>$L$76=template_label_missing_value</formula>
    </cfRule>
  </conditionalFormatting>
  <conditionalFormatting sqref="L78">
    <cfRule type="expression" dxfId="43" priority="177">
      <formula>$L$78=template_label_ok</formula>
    </cfRule>
    <cfRule type="expression" dxfId="42" priority="178">
      <formula>$L$78=template_label_missing_value</formula>
    </cfRule>
    <cfRule type="expression" dxfId="41" priority="6">
      <formula>$L$78=template_label_value_inconsistency</formula>
    </cfRule>
  </conditionalFormatting>
  <conditionalFormatting sqref="L80:L119">
    <cfRule type="expression" dxfId="40" priority="174">
      <formula>$L80=template_label_missing_value</formula>
    </cfRule>
    <cfRule type="expression" dxfId="39" priority="175">
      <formula>$L80=template_label_ok</formula>
    </cfRule>
    <cfRule type="expression" dxfId="38" priority="22">
      <formula>$L80=template_label_value_inconsistency</formula>
    </cfRule>
  </conditionalFormatting>
  <conditionalFormatting sqref="L126">
    <cfRule type="expression" dxfId="37" priority="185">
      <formula>$L$126=template_label_ok</formula>
    </cfRule>
    <cfRule type="expression" dxfId="36" priority="186">
      <formula>$L$126=template_label_missing_value</formula>
    </cfRule>
  </conditionalFormatting>
  <conditionalFormatting sqref="L128">
    <cfRule type="expression" dxfId="35" priority="84">
      <formula>$D$128=template_label_value_inconsistency</formula>
    </cfRule>
  </conditionalFormatting>
  <conditionalFormatting sqref="L128:L153">
    <cfRule type="expression" dxfId="34" priority="238">
      <formula>$L128=template_label_missing_value</formula>
    </cfRule>
    <cfRule type="expression" dxfId="33" priority="239">
      <formula>$L128=template_label_ok</formula>
    </cfRule>
    <cfRule type="expression" dxfId="32" priority="187">
      <formula>$L128=template_label_value_inconcistency</formula>
    </cfRule>
  </conditionalFormatting>
  <conditionalFormatting sqref="L129:L153">
    <cfRule type="expression" dxfId="31" priority="83">
      <formula>$D$129=template_label_value_inconsistency</formula>
    </cfRule>
  </conditionalFormatting>
  <conditionalFormatting sqref="L130">
    <cfRule type="expression" dxfId="30" priority="82">
      <formula>$D$130=template_label_value_inconsistency</formula>
    </cfRule>
  </conditionalFormatting>
  <conditionalFormatting sqref="L131">
    <cfRule type="expression" dxfId="29" priority="85">
      <formula>$D$131=template_label_value_inconsistency</formula>
    </cfRule>
  </conditionalFormatting>
  <conditionalFormatting sqref="L132">
    <cfRule type="expression" dxfId="28" priority="81">
      <formula>$D$132=template_label_value_inconsistency</formula>
    </cfRule>
  </conditionalFormatting>
  <conditionalFormatting sqref="L133">
    <cfRule type="expression" dxfId="27" priority="56">
      <formula>$D$133=template_label_value_inconsistency</formula>
    </cfRule>
  </conditionalFormatting>
  <conditionalFormatting sqref="L134">
    <cfRule type="expression" dxfId="26" priority="55">
      <formula>$D$134=template_label_value_inconsistency</formula>
    </cfRule>
  </conditionalFormatting>
  <conditionalFormatting sqref="L135">
    <cfRule type="expression" dxfId="25" priority="54">
      <formula>$D$135=template_label_value_inconsistency</formula>
    </cfRule>
  </conditionalFormatting>
  <conditionalFormatting sqref="L136">
    <cfRule type="expression" dxfId="24" priority="53">
      <formula>$D$136=template_label_value_inconsistency</formula>
    </cfRule>
  </conditionalFormatting>
  <conditionalFormatting sqref="L137">
    <cfRule type="expression" dxfId="23" priority="52">
      <formula>$D$137=template_label_value_inconsistency</formula>
    </cfRule>
  </conditionalFormatting>
  <conditionalFormatting sqref="L138">
    <cfRule type="expression" dxfId="22" priority="51">
      <formula>$D$138=template_label_value_inconsistency</formula>
    </cfRule>
  </conditionalFormatting>
  <conditionalFormatting sqref="L139">
    <cfRule type="expression" dxfId="21" priority="50">
      <formula>$D$139=template_label_value_inconsistency</formula>
    </cfRule>
  </conditionalFormatting>
  <conditionalFormatting sqref="L140">
    <cfRule type="expression" dxfId="20" priority="49">
      <formula>$D$140=template_label_value_inconsistency</formula>
    </cfRule>
  </conditionalFormatting>
  <conditionalFormatting sqref="L141">
    <cfRule type="expression" dxfId="19" priority="48">
      <formula>$D$141=template_label_value_inconsistency</formula>
    </cfRule>
  </conditionalFormatting>
  <conditionalFormatting sqref="L142">
    <cfRule type="expression" dxfId="18" priority="47">
      <formula>$D$142=template_label_value_inconsistency</formula>
    </cfRule>
  </conditionalFormatting>
  <conditionalFormatting sqref="L143">
    <cfRule type="expression" dxfId="17" priority="46">
      <formula>$D$143=template_label_value_inconsistency</formula>
    </cfRule>
  </conditionalFormatting>
  <conditionalFormatting sqref="L144">
    <cfRule type="expression" dxfId="16" priority="45">
      <formula>$D$144=template_label_value_inconsistency</formula>
    </cfRule>
  </conditionalFormatting>
  <conditionalFormatting sqref="L145">
    <cfRule type="expression" dxfId="15" priority="44">
      <formula>$D$145=template_label_value_inconsistency</formula>
    </cfRule>
  </conditionalFormatting>
  <conditionalFormatting sqref="L146">
    <cfRule type="expression" dxfId="14" priority="43">
      <formula>$D$146=template_label_value_inconsistency</formula>
    </cfRule>
  </conditionalFormatting>
  <conditionalFormatting sqref="L147:L148">
    <cfRule type="expression" dxfId="13" priority="41">
      <formula>$D$147=template_label_value_inconsistency</formula>
    </cfRule>
  </conditionalFormatting>
  <conditionalFormatting sqref="L149">
    <cfRule type="expression" dxfId="12" priority="40">
      <formula>$D$149=template_label_value_inconsistency</formula>
    </cfRule>
  </conditionalFormatting>
  <conditionalFormatting sqref="L150">
    <cfRule type="expression" dxfId="11" priority="39">
      <formula>$D$150=template_label_value_inconsistency</formula>
    </cfRule>
  </conditionalFormatting>
  <conditionalFormatting sqref="L151">
    <cfRule type="expression" dxfId="10" priority="38">
      <formula>$D$151=template_label_value_inconsistency</formula>
    </cfRule>
  </conditionalFormatting>
  <conditionalFormatting sqref="L152">
    <cfRule type="expression" dxfId="9" priority="37">
      <formula>$D$152=template_label_value_inconsistency</formula>
    </cfRule>
  </conditionalFormatting>
  <conditionalFormatting sqref="L153">
    <cfRule type="expression" dxfId="8" priority="36">
      <formula>$D$153=template_label_value_inconsistency</formula>
    </cfRule>
  </conditionalFormatting>
  <conditionalFormatting sqref="L236:L240">
    <cfRule type="expression" dxfId="7" priority="145">
      <formula>$L236=template_label_missing_value</formula>
    </cfRule>
    <cfRule type="expression" dxfId="6" priority="229">
      <formula>$L236=template_label_ok</formula>
    </cfRule>
  </conditionalFormatting>
  <conditionalFormatting sqref="M189:M204">
    <cfRule type="expression" dxfId="5" priority="380">
      <formula>$M189=template_label_error</formula>
    </cfRule>
    <cfRule type="expression" dxfId="4" priority="381">
      <formula>$M189=template_label_missing_value</formula>
    </cfRule>
    <cfRule type="expression" dxfId="3" priority="382">
      <formula>$M189=template_label_ok</formula>
    </cfRule>
    <cfRule type="expression" dxfId="2" priority="21">
      <formula>$M189=template_label_value_inconsistency</formula>
    </cfRule>
  </conditionalFormatting>
  <conditionalFormatting sqref="M244">
    <cfRule type="expression" dxfId="1" priority="228">
      <formula>$M$244=template_label_ok</formula>
    </cfRule>
  </conditionalFormatting>
  <dataValidations count="46">
    <dataValidation type="list" allowBlank="1" showInputMessage="1" showErrorMessage="1" sqref="C126:K126 C159" xr:uid="{BB6E8662-F11B-4AE9-87E6-9BE13D672F35}">
      <formula1>enum_ListHectM2</formula1>
    </dataValidation>
    <dataValidation type="decimal" operator="equal" allowBlank="1" showInputMessage="1" showErrorMessage="1" sqref="G12:J13 C171:F171 G129:I153 D161:D164 G81:G119 H216:I225 G216:G227 G229:G230 H229:I229 J80:K119 G228:I228 D22:F22 D30:F44 G80:I80 D23:I24 J189:K203" xr:uid="{B2E4A370-DB82-466E-876C-1893EAE8311C}">
      <formula1>C12</formula1>
    </dataValidation>
    <dataValidation type="custom" showInputMessage="1" showErrorMessage="1" sqref="D177:F177" xr:uid="{7F95C833-AC3F-43B8-85EA-74C2C9B45EAB}">
      <formula1>IF(D176&lt;&gt;"",$D$169-$D$176,"-")</formula1>
    </dataValidation>
    <dataValidation type="custom" showInputMessage="1" showErrorMessage="1" sqref="J161:J162" xr:uid="{B409784A-89F0-4AC8-80EC-F39FF2216546}">
      <formula1>IF(AND(D161&lt;&gt;"",G161&lt;&gt;""),(G161-D161)/D161,"-")</formula1>
    </dataValidation>
    <dataValidation type="custom" allowBlank="1" showInputMessage="1" showErrorMessage="1" sqref="J163" xr:uid="{D3095E8A-212A-48DF-93B7-E970D0CBD1A9}">
      <formula1>IF(AND(D163&lt;&gt;"",G163&lt;&gt;""),(G163-D163)/D163,"-")</formula1>
    </dataValidation>
    <dataValidation type="custom" showInputMessage="1" showErrorMessage="1" sqref="J164" xr:uid="{2206BA3F-BFEC-4140-822A-A9D776739A86}">
      <formula1>IF(AND(D164&lt;&gt;"",G164&lt;&gt;""),(G164-D164)/D164,"0,00")</formula1>
    </dataValidation>
    <dataValidation type="custom" showInputMessage="1" showErrorMessage="1" sqref="L11" xr:uid="{95BA17C5-FCE1-4A28-B8C4-1D9AB3C6E781}">
      <formula1>IF(AND(G11="",J11="",K11=""),"-",SUM(G11:K11))</formula1>
    </dataValidation>
    <dataValidation type="custom" showInputMessage="1" showErrorMessage="1" sqref="K22:K26" xr:uid="{7481E956-D9C9-4330-BF36-E8C8226EB1D0}">
      <formula1>IF(AND(G22="",J22=""),"-",-(1-(J22/G22)))</formula1>
    </dataValidation>
    <dataValidation type="custom" showInputMessage="1" showErrorMessage="1" sqref="K12:K13" xr:uid="{915A2970-63C6-40B3-BD5D-257C48265E51}">
      <formula1>IF(AND(G12="",J12=""),"-",SUM(G12:J12))</formula1>
    </dataValidation>
    <dataValidation type="decimal" operator="equal" showInputMessage="1" showErrorMessage="1" sqref="G128:I128 G30:I44" xr:uid="{D0DDB1C9-A6DF-417E-95CC-00F6AC02DF64}">
      <formula1>G30</formula1>
    </dataValidation>
    <dataValidation type="list" allowBlank="1" showInputMessage="1" showErrorMessage="1" sqref="D182:G182 E239:K239" xr:uid="{0E0C7A5D-97E5-4949-8297-28F3ED32330B}">
      <formula1>enum_ListYesNo</formula1>
    </dataValidation>
    <dataValidation type="list" operator="equal" allowBlank="1" showInputMessage="1" showErrorMessage="1" sqref="J21" xr:uid="{43DD04F0-09A4-43A5-9384-4793FDFC7556}">
      <formula1>enum_ListOfFutureYears</formula1>
    </dataValidation>
    <dataValidation type="list" operator="equal" allowBlank="1" showInputMessage="1" showErrorMessage="1" sqref="G21:I21" xr:uid="{16F8FE01-CA83-4EF1-BAFC-2D9ABE2790BD}">
      <formula1>enum_ListOfPastYears</formula1>
    </dataValidation>
    <dataValidation type="decimal" operator="lessThanOrEqual" allowBlank="1" showInputMessage="1" showErrorMessage="1" sqref="D170" xr:uid="{307FEF83-D4F1-491C-ACF9-C51B8CC5FF7C}">
      <formula1>D169</formula1>
    </dataValidation>
    <dataValidation type="decimal" operator="greaterThanOrEqual" allowBlank="1" showInputMessage="1" showErrorMessage="1" sqref="D169" xr:uid="{9D83E98F-5DAC-4E06-8F35-7C9E1FB185F5}">
      <formula1>D170</formula1>
    </dataValidation>
    <dataValidation operator="equal" showInputMessage="1" showErrorMessage="1" sqref="G14:J14" xr:uid="{36F88BA9-B536-466F-993A-FC93940593F6}"/>
    <dataValidation type="decimal" operator="lessThanOrEqual" showInputMessage="1" showErrorMessage="1" sqref="G5:K5" xr:uid="{5889F029-3147-4EC0-81A4-7827C5286256}">
      <formula1>G5</formula1>
    </dataValidation>
    <dataValidation type="list" allowBlank="1" showInputMessage="1" showErrorMessage="1" sqref="C78:K78 G204:I204" xr:uid="{5B875B97-80A9-43A1-9D24-28F77F207359}">
      <formula1>enum_ListUnitMeasurement_mass_only</formula1>
    </dataValidation>
    <dataValidation type="list" allowBlank="1" showInputMessage="1" showErrorMessage="1" sqref="D189:F203" xr:uid="{86ED8F12-3B15-41F8-A482-BBF69AEAD6D3}">
      <formula1>enum_ListTypeOfWastes</formula1>
    </dataValidation>
    <dataValidation type="list" allowBlank="1" showInputMessage="1" showErrorMessage="1" sqref="G189:I203 J216:J230" xr:uid="{468FA835-924F-4099-92AB-F4A9369DDA2E}">
      <formula1>enum_ListUnitMeasurement</formula1>
    </dataValidation>
    <dataValidation type="custom" showInputMessage="1" showErrorMessage="1" sqref="G10:K10 G29 J19 G75:K75 D56:K56 G124:K124 G214:J214 E235:K235 D175" xr:uid="{79B3037F-99D1-4D80-AEDA-79DAE4CA8778}">
      <formula1>OR(D10=TRUE,D10=FALSE)</formula1>
    </dataValidation>
    <dataValidation allowBlank="1" showInputMessage="1" showErrorMessage="1" promptTitle="Warning" prompt=" High climate impact sectors are those listed in NACE Sections A to H and Section L as defined in Annex I to_x000a_Regulation (EC) No 1893/2006._x000a_" sqref="C56" xr:uid="{552F652E-CB42-4A72-9085-99DB9DDF4FA5}"/>
    <dataValidation type="list" allowBlank="1" showInputMessage="1" showErrorMessage="1" sqref="D57:K57" xr:uid="{DD16DCD3-9948-4FCF-82A3-38FD54885DEB}">
      <formula1>enum_ImplementationStatus</formula1>
    </dataValidation>
    <dataValidation allowBlank="1" showInputMessage="1" showErrorMessage="1" promptTitle="GHG intensity location based" prompt="total GHG emissions location based / turnover" sqref="C66:F66 C68:F68" xr:uid="{3D30DB62-CBD1-4832-B529-C45860071600}"/>
    <dataValidation allowBlank="1" showInputMessage="1" showErrorMessage="1" promptTitle="GHG intensity market based" prompt="total GHG emissions market based / turnover" sqref="C67:F67 C69:F69" xr:uid="{6C5EBFD2-F3E6-457C-89FE-287DD4F6CFBB}"/>
    <dataValidation allowBlank="1" showInputMessage="1" showErrorMessage="1" promptTitle="Formula" prompt="Water consumption = Water withdrawal - Water discharge from undertaking production processes" sqref="C177" xr:uid="{273E5F27-9CA2-4255-9DDB-A8BFDBFD4525}"/>
    <dataValidation type="decimal" operator="lessThanOrEqual" showInputMessage="1" showErrorMessage="1" sqref="J30:J44 J22:J23" xr:uid="{56611176-B94D-46AB-9FE2-3BBE997D250F}">
      <formula1>G22</formula1>
    </dataValidation>
    <dataValidation type="custom" showInputMessage="1" showErrorMessage="1" sqref="D25:J25" xr:uid="{872D81DA-BAD6-4809-89DD-0C9EF998EEDF}">
      <formula1>IF(AND(D22="",D23=""),"-",SUM(D22,D23))</formula1>
    </dataValidation>
    <dataValidation type="custom" showInputMessage="1" showErrorMessage="1" sqref="D26:J26" xr:uid="{7A443401-04C0-405E-8E6F-6079A18DA311}">
      <formula1>IF(OR(D22="",D24=""),"-",SUM(D22,D24))</formula1>
    </dataValidation>
    <dataValidation type="list" allowBlank="1" showInputMessage="1" showErrorMessage="1" sqref="C128:C153" xr:uid="{1F4C2619-5EB1-4404-A206-97996D90405F}">
      <formula1>IdentifierOfSiteTypedAxis</formula1>
    </dataValidation>
    <dataValidation type="custom" allowBlank="1" showInputMessage="1" showErrorMessage="1" sqref="K30:K47" xr:uid="{5C9C1647-5771-45C5-B90A-9E87FA9B94F0}">
      <formula1>IF(AND(G30="-",J30="-"),"-",-(1-(J30/G30)))</formula1>
    </dataValidation>
    <dataValidation type="custom" showInputMessage="1" showErrorMessage="1" sqref="D46:F46" xr:uid="{44F45501-5837-46C3-96B1-E4222DA4C3C6}">
      <formula1>IF(G29=FALSE, "-", IF(AND(D22="", D23="", D45=""), "-", IF(SUM(D22, D23, D45)=0, "-", SUM(D22, D23, D45))))</formula1>
    </dataValidation>
    <dataValidation type="custom" showInputMessage="1" showErrorMessage="1" sqref="D47:F47" xr:uid="{E4B2B9D1-B383-4B4F-B790-D64C7B78A755}">
      <formula1>IF(G29=FALSE,"-",IF(OR(D22="",D24="",D45=""),"-",SUM(D22,D24,D45)))</formula1>
    </dataValidation>
    <dataValidation type="custom" showInputMessage="1" showErrorMessage="1" sqref="G46:I46" xr:uid="{0751A80F-F799-486B-8A58-C1479490F9B3}">
      <formula1>IF(G29=FALSE, "-", IF(AND(G22="", G23="", G45=""), "-", IF(SUM(G22, G23, G45)=0, "-", SUM(G22, G23, G45))))</formula1>
    </dataValidation>
    <dataValidation type="custom" showInputMessage="1" showErrorMessage="1" sqref="J46" xr:uid="{E43EE622-6D1B-413F-AB34-081C8173F6D4}">
      <formula1>IF(G29=FALSE, "-", IF(AND(J22="", J23="", J45=""), "-", IF(SUM(J22, J23, J45)=0, "-", SUM(J22, J23, J45))))</formula1>
    </dataValidation>
    <dataValidation type="custom" showInputMessage="1" showErrorMessage="1" sqref="J128:J153" xr:uid="{59814BE8-8296-41E6-93BC-6FEFD17DA5F5}">
      <formula1>IF(K128=TRUE,FALSE,TRUE)</formula1>
    </dataValidation>
    <dataValidation type="custom" showInputMessage="1" showErrorMessage="1" sqref="K128:K153" xr:uid="{88A1E46D-E83C-4E9F-A0DE-55C292A1A46D}">
      <formula1>IF(J128=TRUE,FALSE,TRUE)</formula1>
    </dataValidation>
    <dataValidation type="custom" allowBlank="1" showInputMessage="1" showErrorMessage="1" sqref="G74:K74" xr:uid="{6E2338D0-2F0D-4D0A-B4CA-1A58E7B2BF06}">
      <formula1>OR(G74=TRUE,G74=FALSE)</formula1>
    </dataValidation>
    <dataValidation type="list" allowBlank="1" showInputMessage="1" showErrorMessage="1" sqref="D80:F119" xr:uid="{F72FC679-E517-46A1-8346-75FC58B90566}">
      <formula1>enum_ListPollutants</formula1>
    </dataValidation>
    <dataValidation type="decimal" operator="lessThanOrEqual" allowBlank="1" showInputMessage="1" showErrorMessage="1" sqref="D176" xr:uid="{C9BF1CFC-1624-433F-AC79-2FA2FCF246EA}">
      <formula1>D169</formula1>
    </dataValidation>
    <dataValidation type="list" allowBlank="1" showInputMessage="1" showErrorMessage="1" sqref="I59:K59" xr:uid="{A2F67FB3-8D80-44E5-B4D9-38272DD5BBE5}">
      <formula1>enum_ListOfFutureYears</formula1>
    </dataValidation>
    <dataValidation type="list" allowBlank="1" showInputMessage="1" showErrorMessage="1" sqref="I60:K60" xr:uid="{3AB71E39-AEC7-4282-98CD-7DD433B069AA}">
      <formula1>enum_ListMonth</formula1>
    </dataValidation>
    <dataValidation type="list" allowBlank="1" showInputMessage="1" showErrorMessage="1" sqref="I61:K61" xr:uid="{DD05FCA5-8F67-490C-B21F-4D0482E1FD75}">
      <formula1>enum_ListDays</formula1>
    </dataValidation>
    <dataValidation type="decimal" operator="greaterThanOrEqual" allowBlank="1" showInputMessage="1" showErrorMessage="1" sqref="G22:I22" xr:uid="{C6E81543-3F7B-449E-B130-59140CE64924}">
      <formula1>J22</formula1>
    </dataValidation>
    <dataValidation type="decimal" operator="lessThanOrEqual" showInputMessage="1" showErrorMessage="1" promptTitle="Warning (if applicable)" sqref="J24" xr:uid="{A2145979-D2B9-4B59-A910-5926E9B28F15}">
      <formula1>G24</formula1>
    </dataValidation>
    <dataValidation allowBlank="1" showInputMessage="1" showErrorMessage="1" promptTitle="Additional rows" sqref="D218:F218" xr:uid="{AEF9E320-326D-4C50-A483-ABF8EA93704A}"/>
  </dataValidations>
  <hyperlinks>
    <hyperlink ref="C3" r:id="rId1" location="id-69" display="https://xbrl.efrag.org/e-esrs/2024-12-17-efrag-vsme.xhtml - id-69" xr:uid="{A785C4AD-0B95-4DFF-8E0F-42C6AA2490C1}"/>
    <hyperlink ref="C4" r:id="rId2" location="id-182" display="82-89" xr:uid="{6E69B136-F254-47B7-B50D-A93C8C0EB4AB}"/>
    <hyperlink ref="C50" r:id="rId3" location="id-117" xr:uid="{F4FBEC3B-EB83-4C2E-BF21-170D8E8EC19A}"/>
    <hyperlink ref="C51" r:id="rId4" location="id-407" display="https://xbrl.efrag.org/e-esrs/2024-12-17-efrag-vsme.xhtml - id-407" xr:uid="{638437FC-4D75-49FF-9726-757B299FE400}"/>
    <hyperlink ref="G17" r:id="rId5" location="id-118" display="Paragraph 54(b)" xr:uid="{6244A818-EC4F-48E7-AC84-5301360C89F9}"/>
    <hyperlink ref="J17" r:id="rId6" xr:uid="{E32722CC-268A-4C7E-9180-338FD28E0511}"/>
    <hyperlink ref="D18" r:id="rId7" location="id-196" display="90-109" xr:uid="{4DC839D1-20DB-4E09-B7A5-D0A0BC9CEA23}"/>
    <hyperlink ref="G18" r:id="rId8" location="id-400" display="216-222" xr:uid="{E3D76769-85A8-4F19-A90F-D66D27110333}"/>
    <hyperlink ref="D28" r:id="rId9" location="id-398" display="214-215" xr:uid="{9B118876-E4AD-4C1B-AAE8-97DB029124EE}"/>
    <hyperlink ref="C72" r:id="rId10" location="id-74" display="https://xbrl.efrag.org/e-esrs/2024-12-17-efrag-vsme.xhtml - id-74" xr:uid="{54D7F3A9-797B-42E9-80BE-327193BDEABC}"/>
    <hyperlink ref="C73" r:id="rId11" location="id-236" display="110-133" xr:uid="{190D4415-42A4-4D43-B287-B72DD914B8A3}"/>
    <hyperlink ref="C156" r:id="rId12" location="id-76" display="https://xbrl.efrag.org/e-esrs/2024-12-17-efrag-vsme.xhtml - id-76" xr:uid="{2B618F2F-2DC0-4B63-9CF0-7E12FA147AFC}"/>
    <hyperlink ref="C180" r:id="rId13" location="id-83" display="https://xbrl.efrag.org/e-esrs/2024-12-17-efrag-vsme.xhtml - id-83" xr:uid="{323BFE79-70EB-4CE2-B9C3-91002A40B67F}"/>
    <hyperlink ref="C186" r:id="rId14" location="id-85" xr:uid="{34774E4F-7D92-4F86-BA01-3E69B542A9F0}"/>
    <hyperlink ref="C157" r:id="rId15" location="id-264" display="138-141" xr:uid="{DE71F164-3008-4FB9-8EB2-54AB4ECA1636}"/>
    <hyperlink ref="C181" r:id="rId16" location="id-290" display="https://xbrl.efrag.org/e-esrs/2024-12-17-efrag-vsme.xhtml - id-290" xr:uid="{4787EE6B-65DD-4D37-9003-F57D95D7C3E3}"/>
    <hyperlink ref="C187" r:id="rId17" location="id-291" display="160-172" xr:uid="{303B2981-FEC6-4744-9300-EA413929D31B}"/>
    <hyperlink ref="A236" r:id="rId18" xr:uid="{CE1E6101-0E49-497A-B96E-9AA552B3DA6C}"/>
    <hyperlink ref="A237" r:id="rId19" xr:uid="{D6097D81-5D35-4F54-B57E-EE02A65BAB6D}"/>
    <hyperlink ref="A238" r:id="rId20" xr:uid="{7D374740-6DC7-48F4-A99B-089AC209753B}"/>
    <hyperlink ref="A239" r:id="rId21" xr:uid="{150D4BD8-5DE5-4581-8DAE-4C82C7A62056}"/>
    <hyperlink ref="A240" r:id="rId22" display="https://xbrl.efrag.org/eng/interactive/vsme/vsme-standard-annex-i/2025-07-30-ec-rec/58" xr:uid="{EC797813-6429-4DF9-9AA7-E7EF9CEF1CEF}"/>
    <hyperlink ref="B236" r:id="rId23" xr:uid="{13F06C86-825D-430E-ABF7-7903D099B2C8}"/>
    <hyperlink ref="K17" r:id="rId24" xr:uid="{80C232F7-EF01-47F1-B37B-B9465DA971AE}"/>
    <hyperlink ref="C122" r:id="rId25" location="id-75" display="https://xbrl.efrag.org/e-esrs/2024-12-17-efrag-vsme.xhtml - id-75" xr:uid="{477C8E1D-8E11-49EC-A489-12E70C4FFE67}"/>
    <hyperlink ref="C123" r:id="rId26" location="id-260" display="134-137" xr:uid="{79B9B2C7-556F-4990-B4AB-2754EB7A61A1}"/>
    <hyperlink ref="C212" r:id="rId27" location="id-87" xr:uid="{6BE3DB22-1314-4A4E-8418-B1701C7E0A19}"/>
    <hyperlink ref="C213" r:id="rId28" location="id-353" display="173-174" xr:uid="{6218306B-0419-442B-876E-2B32619A0D96}"/>
    <hyperlink ref="C65" r:id="rId29" location="id-73" display="https://xbrl.efrag.org/e-esrs/2024-12-17-efrag-vsme.xhtml - id-73" xr:uid="{1F3ACB44-AE6B-4E80-908F-73BEA496FD95}"/>
    <hyperlink ref="C243" r:id="rId30" location="id-30" display="https://xbrl.efrag.org/e-esrs/2024-12-17-efrag-vsme.xhtml - id-30" xr:uid="{8191E0B1-15FD-4663-A70D-17A84E710C3E}"/>
    <hyperlink ref="C167" r:id="rId31" location="id-81" display="https://xbrl.efrag.org/e-esrs/2024-12-17-efrag-vsme.xhtml - id-81" xr:uid="{50BA1BA2-81A0-434C-BE2B-6B94DE19A97B}"/>
    <hyperlink ref="C168" r:id="rId32" location="id-287" display="156-158" xr:uid="{C3E10B43-4D88-4B0F-993A-7DC6D4C5CC2C}"/>
    <hyperlink ref="C173" r:id="rId33" location="id-81" display="35-36" xr:uid="{9EB17F31-FED5-4A9A-843D-A89DC4708454}"/>
    <hyperlink ref="C174" r:id="rId34" location="id-268" display="142-155" xr:uid="{62AC2A99-3F34-4CBE-BDAF-11563855801F}"/>
    <hyperlink ref="C17:D17" r:id="rId35" location="id-70" display="https://xbrl.efrag.org/e-esrs/2024-12-17-efrag-vsme.xhtml - id-70" xr:uid="{365B931A-E911-46E5-8026-EF90DCBF85DB}"/>
    <hyperlink ref="C27:D27" r:id="rId36" location="id-112" display="50-53" xr:uid="{3DBD1A28-DC3E-40DC-9509-EA926F607751}"/>
    <hyperlink ref="G27:J27" r:id="rId37" display="https://xbrl.efrag.org/eng/interactive/vsme/vsme-standard-annex-i/2025-07-30-ec-rec/54/d" xr:uid="{FA2393F6-873E-45A0-B6D3-FA6AD5E1230A}"/>
    <hyperlink ref="A59" r:id="rId38" location="id-123" display="https://xbrl.efrag.org/e-esrs/2024-12-17-efrag-vsme.xhtml - id-123" xr:uid="{5155F932-F89F-44F2-BA89-74CDEA4817F0}"/>
    <hyperlink ref="C9" r:id="rId39" location="id-182" display="82-89" xr:uid="{029124E6-E37E-4A98-93EE-BBDACB0FCB2C}"/>
    <hyperlink ref="A56" r:id="rId40" display="https://xbrl.efrag.org/eng/interactive/vsme/vsme-standard-annex-i/2025-07-30-ec-rec/55" xr:uid="{23B02246-8F88-4A95-9887-8E8471F2E145}"/>
    <hyperlink ref="B56" r:id="rId41" xr:uid="{9F22D8E3-2E8E-40D0-AC4E-03DD91E3F81F}"/>
    <hyperlink ref="C173:D173" r:id="rId42" display="https://xbrl.efrag.org/eng/interactive/vsme/vsme-standard-annex-i/2025-07-30-ec-rec/36" xr:uid="{08D12C5F-C868-4CDA-BEBA-B676529CB904}"/>
    <hyperlink ref="C14:F14" location="template_FUEL_CONVERTER" display="Fuels (see Fuel Converter on Fuels worksheet)" xr:uid="{A029E2CF-74B8-43AA-80AE-64A2E02A3995}"/>
    <hyperlink ref="C3:K3" r:id="rId43" display="https://xbrl.efrag.org/eng/interactive/vsme/vsme-standard-annex-i/2025-07-30-ec-rec/29" xr:uid="{A7F34C4A-10FB-4424-87DE-42EEA8CEA76B}"/>
    <hyperlink ref="C17:F17" r:id="rId44" display="https://xbrl.efrag.org/eng/interactive/vsme/vsme-standard-annex-i/2025-07-30-ec-rec/30" xr:uid="{6C59972C-0668-42F7-8CCD-9AE86FBC38EC}"/>
    <hyperlink ref="G17:I17" r:id="rId45" display="54(b)" xr:uid="{364F15A6-5B4F-4259-A406-B7092E211F2F}"/>
    <hyperlink ref="C27:F27" r:id="rId46" display="50-53" xr:uid="{8F729633-44CB-405F-AA82-B6C89F3DC8FB}"/>
    <hyperlink ref="C50:K50" r:id="rId47" display="54(e)" xr:uid="{81FE59B6-40CF-4742-9ED9-F7B4E2BB2BA2}"/>
    <hyperlink ref="A59:A62" r:id="rId48" display="https://xbrl.efrag.org/eng/interactive/vsme/vsme-standard-annex-i/2025-07-30-ec-rec/56" xr:uid="{E5EC0612-0918-4B4B-A021-782AE8A55141}"/>
    <hyperlink ref="C65:K65" r:id="rId49" display="https://xbrl.efrag.org/eng/interactive/vsme/vsme-standard-annex-i/2025-07-30-ec-rec/31" xr:uid="{6BA0BFF5-A51C-400C-923E-90191FD8A81A}"/>
    <hyperlink ref="C72:K72" r:id="rId50" display="https://xbrl.efrag.org/eng/interactive/vsme/vsme-standard-annex-i/2025-07-30-ec-rec/32" xr:uid="{E0C050FC-D9FD-4445-912B-9ECE1F8C79C6}"/>
    <hyperlink ref="C122:K122" r:id="rId51" display="https://xbrl.efrag.org/eng/interactive/vsme/vsme-standard-annex-i/2025-07-30-ec-rec/33" xr:uid="{18D02725-37E9-4912-AE40-1A2F1932692F}"/>
    <hyperlink ref="C156:F156" r:id="rId52" display="https://xbrl.efrag.org/eng/interactive/vsme/vsme-standard-annex-i/2025-07-30-ec-rec/34" xr:uid="{1E725C46-C679-4052-AC6C-9B43FAF420E9}"/>
    <hyperlink ref="C167:D167" r:id="rId53" display="https://xbrl.efrag.org/eng/interactive/vsme/vsme-standard-annex-i/2025-07-30-ec-rec/35" xr:uid="{C5F7B0AA-FEE2-4F07-BF55-E0D6B598140A}"/>
    <hyperlink ref="C180:G180" r:id="rId54" display="https://xbrl.efrag.org/eng/interactive/vsme/vsme-standard-annex-i/2025-07-30-ec-rec/37" xr:uid="{CF11B702-3061-477D-9A98-D7C8FC2FC832}"/>
    <hyperlink ref="C186:L186" r:id="rId55" display="38(a) and 38(b)" xr:uid="{2916048F-E00D-4F8E-AA1D-D98CC76634A5}"/>
    <hyperlink ref="C212:J212" r:id="rId56" display="38(c)" xr:uid="{A7A770CA-3A79-460E-AE7B-758D7EA2788E}"/>
    <hyperlink ref="C243:L243" r:id="rId57" display="https://xbrl.efrag.org/eng/interactive/vsme/vsme-standard-annex-i/2025-07-30-ec-rec/10" xr:uid="{6FEDD8C0-AEF6-4F30-9CF0-705DD5797E5C}"/>
    <hyperlink ref="C4:K4" r:id="rId58" display="18-25" xr:uid="{9EF65291-E505-474B-9BE5-B5513B30FAE6}"/>
    <hyperlink ref="C9:K9" r:id="rId59" display="18-25" xr:uid="{7644CC2E-A677-4966-AD28-38088652B08F}"/>
    <hyperlink ref="D18:F18" r:id="rId60" display="26-45" xr:uid="{54415CE9-C842-4018-BC58-63FE91DAE286}"/>
    <hyperlink ref="G18:I18" r:id="rId61" display="152-158" xr:uid="{A90AEE1E-5ECE-408D-9BD8-277E2DDFCB76}"/>
    <hyperlink ref="K18" r:id="rId62" xr:uid="{0BF03DAE-C5A3-44DA-BFFE-62B915B319D5}"/>
    <hyperlink ref="J18" r:id="rId63" xr:uid="{0ABBAA9C-B0D1-4D7C-9925-9696EA01191B}"/>
    <hyperlink ref="D28:F28" r:id="rId64" display="150-151" xr:uid="{6241CA82-2598-4088-946B-5FE503CFC4E2}"/>
    <hyperlink ref="C51:K51" r:id="rId65" display="https://xbrl.efrag.org/eng/interactive/vsme/vsme-guidance-annex-ii/2025-07-30-ec-rec/159" xr:uid="{9853AE71-58EB-44FC-8CCE-6D936F389CAD}"/>
    <hyperlink ref="B59:B62" r:id="rId66" display="160-163" xr:uid="{1AAF8898-D351-4F85-AB32-DF4AFB737470}"/>
    <hyperlink ref="C73:K73" r:id="rId67" display="46-69" xr:uid="{093BCEF6-7E0E-4310-B894-FE2122CAA6D0}"/>
    <hyperlink ref="C123:K123" r:id="rId68" display="70-73" xr:uid="{ADDB76C3-31EF-4D03-989E-01BA41940AF0}"/>
    <hyperlink ref="C157:F157" r:id="rId69" display="74-76" xr:uid="{838EAE7C-DEF6-45AF-93B2-5485EB91BDBA}"/>
    <hyperlink ref="C168:D168" r:id="rId70" display="91-93" xr:uid="{64255AC5-0D7D-4A44-A10E-4AC1C376065E}"/>
    <hyperlink ref="C174:D174" r:id="rId71" display="77-90" xr:uid="{049A5BD7-EF46-4CF5-878F-A00421D86BF2}"/>
    <hyperlink ref="C181:G181" r:id="rId72" display="https://xbrl.efrag.org/eng/interactive/vsme/vsme-guidance-annex-ii/2025-07-30-ec-rec/94" xr:uid="{D20F3F3A-72EE-4E84-8911-A4E5F49DEFBB}"/>
    <hyperlink ref="C187:L187" r:id="rId73" display="95-107" xr:uid="{5A214E87-D657-4C42-B387-6E155E48A5C4}"/>
    <hyperlink ref="C213:J213" r:id="rId74" display="108-109" xr:uid="{0AB5E17B-E870-404D-AFF4-29BA2E5C3CDB}"/>
    <hyperlink ref="A57" r:id="rId75" display="https://xbrl.efrag.org/eng/interactive/vsme/vsme-standard-annex-i/2025-07-30-ec-rec/55" xr:uid="{B6903554-697A-4452-BEBE-247674A76982}"/>
    <hyperlink ref="A58" r:id="rId76" display="https://xbrl.efrag.org/eng/interactive/vsme/vsme-standard-annex-i/2025-07-30-ec-rec/55" xr:uid="{D40997F3-EF24-42C9-B393-8ADB9CCD237A}"/>
    <hyperlink ref="C8" r:id="rId77" location="id-69" display="https://xbrl.efrag.org/e-esrs/2024-12-17-efrag-vsme.xhtml - id-69" xr:uid="{F3F27717-5413-4050-89AF-53FE39F2890B}"/>
    <hyperlink ref="C8:K8" r:id="rId78" display="https://xbrl.efrag.org/eng/interactive/vsme/vsme-standard-annex-i/2025-07-30-ec-rec/29" xr:uid="{0387C2A5-8C66-45EA-B369-FB19C4F01A64}"/>
    <hyperlink ref="B240" r:id="rId79" xr:uid="{AC7CCD47-0010-4354-8D4F-FA1ED42CD433}"/>
    <hyperlink ref="B57" r:id="rId80" xr:uid="{59702F8A-53C4-4D6F-88E3-3025243DA959}"/>
    <hyperlink ref="B58" r:id="rId81" xr:uid="{9AF9DFDD-D473-498C-9909-9497928C6F53}"/>
    <hyperlink ref="B237" r:id="rId82" xr:uid="{108E1487-6984-4E23-821C-A1ED53D1FEFD}"/>
    <hyperlink ref="B238" r:id="rId83" xr:uid="{F192B5CB-E03F-42CC-A5C4-D47E630D689F}"/>
    <hyperlink ref="B239" r:id="rId84" xr:uid="{F5FDA725-30B0-43F6-920A-EC7CD1344B13}"/>
  </hyperlinks>
  <pageMargins left="0.7" right="0.7" top="0.75" bottom="0.75" header="0.3" footer="0.3"/>
  <pageSetup orientation="portrait" r:id="rId85"/>
  <drawing r:id="rId8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5E32A-1E4A-4F0D-9737-23BF22D3D4EB}">
  <dimension ref="A1:V110"/>
  <sheetViews>
    <sheetView zoomScaleNormal="100" workbookViewId="0"/>
  </sheetViews>
  <sheetFormatPr defaultColWidth="8.90625" defaultRowHeight="14.5" outlineLevelRow="1" x14ac:dyDescent="0.35"/>
  <cols>
    <col min="1" max="2" width="10" style="10" bestFit="1" customWidth="1"/>
    <col min="3" max="3" width="73.90625" style="10" customWidth="1"/>
    <col min="4" max="4" width="38.08984375" style="10" customWidth="1"/>
    <col min="5" max="5" width="27.90625" style="10" customWidth="1"/>
    <col min="6" max="7" width="8.90625" style="10"/>
    <col min="8" max="9" width="21.36328125" style="10" bestFit="1" customWidth="1"/>
    <col min="10" max="16384" width="8.90625" style="10"/>
  </cols>
  <sheetData>
    <row r="1" spans="1:8" ht="44" thickBot="1" x14ac:dyDescent="0.4">
      <c r="A1" s="258" t="str">
        <f>template_label_paragraph_reference</f>
        <v>Paragraph Reference</v>
      </c>
      <c r="B1" s="258" t="str">
        <f>template_label_paragraph_guidance_reference</f>
        <v>Paragraph Guidance Reference</v>
      </c>
    </row>
    <row r="2" spans="1:8" ht="15" thickBot="1" x14ac:dyDescent="0.4">
      <c r="C2" s="926" t="str">
        <f>template_label_employee_counting_methodology_for_the_disclosures_below_headcount_full_time_equivalent</f>
        <v>Employee counting methodology for the disclosures below (Headcount or Full time Equivalent linked from B1</v>
      </c>
      <c r="D2" s="927"/>
      <c r="E2" s="928"/>
      <c r="F2" s="929" t="str">
        <f>IF('General Information'!$E$64="","-",'General Information'!$E$64)</f>
        <v>-</v>
      </c>
      <c r="G2" s="929"/>
      <c r="H2" s="930"/>
    </row>
    <row r="3" spans="1:8" ht="15" thickBot="1" x14ac:dyDescent="0.4">
      <c r="C3" s="926" t="str">
        <f>template_label_employee_counting_methodology_for_the_disclosures_below_period</f>
        <v>Employee counting methodology for the disclosures below (At the end of the reporting period or as an average across the reporting period linked from B1)</v>
      </c>
      <c r="D3" s="927"/>
      <c r="E3" s="928"/>
      <c r="F3" s="931" t="str">
        <f>IF('General Information'!$E$63="","-",'General Information'!$E$63)</f>
        <v>-</v>
      </c>
      <c r="G3" s="932"/>
      <c r="H3" s="933"/>
    </row>
    <row r="5" spans="1:8" ht="15" thickBot="1" x14ac:dyDescent="0.4"/>
    <row r="6" spans="1:8" x14ac:dyDescent="0.35">
      <c r="C6" s="589" t="str">
        <f>template_label_b8_workforce_general_characteristics_type_of_contract&amp;" "&amp;template_label_always_to_be_reported</f>
        <v>B8 – Workforce – General characteristics - Type of contract [Always to be reported]</v>
      </c>
      <c r="D6" s="590"/>
      <c r="E6" s="590"/>
      <c r="F6" s="590"/>
      <c r="G6" s="591"/>
      <c r="H6"/>
    </row>
    <row r="7" spans="1:8" x14ac:dyDescent="0.35">
      <c r="C7" s="516" t="s">
        <v>3755</v>
      </c>
      <c r="D7" s="517"/>
      <c r="E7" s="517"/>
      <c r="F7" s="517"/>
      <c r="G7" s="518"/>
    </row>
    <row r="8" spans="1:8" x14ac:dyDescent="0.35">
      <c r="C8" s="630" t="s">
        <v>5660</v>
      </c>
      <c r="D8" s="944"/>
      <c r="E8" s="944"/>
      <c r="F8" s="944"/>
      <c r="G8" s="945"/>
    </row>
    <row r="9" spans="1:8" x14ac:dyDescent="0.35">
      <c r="C9" s="149" t="str">
        <f>template_label_type_of_contract</f>
        <v>Type of contract</v>
      </c>
      <c r="D9" s="946" t="str">
        <f>template_label_number_of_employees</f>
        <v>Number of employees</v>
      </c>
      <c r="E9" s="947"/>
      <c r="F9" s="947"/>
      <c r="G9" s="948"/>
      <c r="H9" s="150"/>
    </row>
    <row r="10" spans="1:8" x14ac:dyDescent="0.35">
      <c r="C10" s="151" t="str">
        <f>template_label_permanent_contract</f>
        <v>Permanent contract</v>
      </c>
      <c r="D10" s="937"/>
      <c r="E10" s="938"/>
      <c r="F10" s="938"/>
      <c r="G10" s="939"/>
      <c r="H10" s="15" t="str">
        <f>IF(
    AND(
        OR(
            'General Information'!E32="Option A (Basic Module only)",
            'General Information'!E32="Option B (Basic Module and Comprehensive Module)"
        ),
        D10=""
    ),
    template_label_missing_value,
    IF('General Information'!E32="",
        "",
        template_label_ok
    )
)</f>
        <v/>
      </c>
    </row>
    <row r="11" spans="1:8" x14ac:dyDescent="0.35">
      <c r="C11" s="151" t="str">
        <f>template_label_temporary_contract</f>
        <v>Temporary contract</v>
      </c>
      <c r="D11" s="949" t="str">
        <f>IFERROR(IF(D10="", "-", $D$12 - $D$10), "-")</f>
        <v>-</v>
      </c>
      <c r="E11" s="950"/>
      <c r="F11" s="950"/>
      <c r="G11" s="951"/>
      <c r="H11" s="15"/>
    </row>
    <row r="12" spans="1:8" ht="15" thickBot="1" x14ac:dyDescent="0.4">
      <c r="C12" s="152" t="str">
        <f>template_label_total_employees</f>
        <v>Total employees (linked to B1)</v>
      </c>
      <c r="D12" s="952" t="str">
        <f>IF('General Information'!$E$62="", "-", VALUE(SUBSTITUTE('General Information'!$E$62, "-", "0")))</f>
        <v>-</v>
      </c>
      <c r="E12" s="952"/>
      <c r="F12" s="952"/>
      <c r="G12" s="953"/>
      <c r="H12" s="17"/>
    </row>
    <row r="13" spans="1:8" ht="15" thickBot="1" x14ac:dyDescent="0.4"/>
    <row r="14" spans="1:8" x14ac:dyDescent="0.35">
      <c r="C14" s="589" t="str">
        <f>template_label_b8_workforce_general_characteristics_gender&amp;" "&amp;template_label_always_to_be_reported</f>
        <v>B8 – Workforce – General characteristics - Gender [Always to be reported]</v>
      </c>
      <c r="D14" s="590"/>
      <c r="E14" s="590"/>
      <c r="F14" s="590"/>
      <c r="G14" s="591"/>
      <c r="H14"/>
    </row>
    <row r="15" spans="1:8" x14ac:dyDescent="0.35">
      <c r="C15" s="516" t="s">
        <v>3756</v>
      </c>
      <c r="D15" s="517"/>
      <c r="E15" s="517"/>
      <c r="F15" s="517"/>
      <c r="G15" s="518"/>
    </row>
    <row r="16" spans="1:8" x14ac:dyDescent="0.35">
      <c r="C16" s="630" t="s">
        <v>5660</v>
      </c>
      <c r="D16" s="631"/>
      <c r="E16" s="631"/>
      <c r="F16" s="631"/>
      <c r="G16" s="632"/>
    </row>
    <row r="17" spans="3:22" x14ac:dyDescent="0.35">
      <c r="C17" s="153" t="str">
        <f>template_label_gender</f>
        <v>Gender</v>
      </c>
      <c r="D17" s="934" t="str">
        <f>template_label_number_of_employees</f>
        <v>Number of employees</v>
      </c>
      <c r="E17" s="935"/>
      <c r="F17" s="935"/>
      <c r="G17" s="936"/>
    </row>
    <row r="18" spans="3:22" x14ac:dyDescent="0.35">
      <c r="C18" s="154" t="str">
        <f>template_label_male</f>
        <v>Male</v>
      </c>
      <c r="D18" s="937"/>
      <c r="E18" s="938"/>
      <c r="F18" s="938"/>
      <c r="G18" s="939"/>
      <c r="H18" s="940" t="str">
        <f>IF(
    OR(
        'General Information'!E32="Option A (Basic Module only)",
        'General Information'!E32="Option B (Basic Module and Comprehensive Module)"
    ),
    IF(
        NumberOfMaleEmployees+NumberOfFemaleEmployees+NumberOfOtherGenderEmployees+NumberOfNonReportedGenderEmployees=D22,
        template_label_ok,
        template_label_missing_value
    ),
    ""
)</f>
        <v/>
      </c>
      <c r="I18" s="924" t="str">
        <f>template_label_number_of_employees_warning</f>
        <v xml:space="preserve">ℹ️  Please make sure that the total number of employees is the same as the one provided in the "General Information" sheet cell E55
</v>
      </c>
      <c r="J18" s="924"/>
      <c r="K18" s="924"/>
      <c r="L18" s="924"/>
      <c r="M18" s="924"/>
    </row>
    <row r="19" spans="3:22" x14ac:dyDescent="0.35">
      <c r="C19" s="154" t="str">
        <f>template_label_female</f>
        <v>Female</v>
      </c>
      <c r="D19" s="937"/>
      <c r="E19" s="938"/>
      <c r="F19" s="938"/>
      <c r="G19" s="939"/>
      <c r="H19" s="940"/>
      <c r="I19" s="924"/>
      <c r="J19" s="924"/>
      <c r="K19" s="924"/>
      <c r="L19" s="924"/>
      <c r="M19" s="924"/>
    </row>
    <row r="20" spans="3:22" x14ac:dyDescent="0.35">
      <c r="C20" s="154" t="str">
        <f>template_label_other</f>
        <v>Other</v>
      </c>
      <c r="D20" s="937"/>
      <c r="E20" s="938"/>
      <c r="F20" s="938"/>
      <c r="G20" s="939"/>
      <c r="H20" s="940"/>
      <c r="I20" s="924"/>
      <c r="J20" s="924"/>
      <c r="K20" s="924"/>
      <c r="L20" s="924"/>
      <c r="M20" s="924"/>
    </row>
    <row r="21" spans="3:22" x14ac:dyDescent="0.35">
      <c r="C21" s="154" t="str">
        <f>template_label_not_reported</f>
        <v>Not reported</v>
      </c>
      <c r="D21" s="941"/>
      <c r="E21" s="942"/>
      <c r="F21" s="942"/>
      <c r="G21" s="943"/>
      <c r="H21" s="940"/>
      <c r="I21" s="924"/>
      <c r="J21" s="924"/>
      <c r="K21" s="924"/>
      <c r="L21" s="924"/>
      <c r="M21" s="924"/>
    </row>
    <row r="22" spans="3:22" ht="15" thickBot="1" x14ac:dyDescent="0.4">
      <c r="C22" s="152" t="str">
        <f>template_label_total_employees</f>
        <v>Total employees (linked to B1)</v>
      </c>
      <c r="D22" s="952" t="str">
        <f>IF('General Information'!$E$62="","-",'General Information'!$E$62)</f>
        <v>-</v>
      </c>
      <c r="E22" s="952"/>
      <c r="F22" s="952"/>
      <c r="G22" s="953"/>
      <c r="H22" s="18"/>
    </row>
    <row r="23" spans="3:22" ht="15" thickBot="1" x14ac:dyDescent="0.4"/>
    <row r="24" spans="3:22" x14ac:dyDescent="0.35">
      <c r="C24" s="958" t="str">
        <f>template_label_b8_workforce_general_characteristics_country_of_employment&amp;" "&amp;template_label_if_applicable</f>
        <v>B8 – Workforce – General characteristics - Country of employment [If applicable]</v>
      </c>
      <c r="D24" s="959"/>
      <c r="E24" s="959"/>
      <c r="F24" s="959"/>
      <c r="G24" s="959"/>
      <c r="H24" s="960"/>
    </row>
    <row r="25" spans="3:22" x14ac:dyDescent="0.35">
      <c r="C25" s="714" t="s">
        <v>3757</v>
      </c>
      <c r="D25" s="715"/>
      <c r="E25" s="715"/>
      <c r="F25" s="715"/>
      <c r="G25" s="715"/>
      <c r="H25" s="716"/>
    </row>
    <row r="26" spans="3:22" x14ac:dyDescent="0.35">
      <c r="C26" s="739" t="s">
        <v>5660</v>
      </c>
      <c r="D26" s="740"/>
      <c r="E26" s="740"/>
      <c r="F26" s="740"/>
      <c r="G26" s="740"/>
      <c r="H26" s="746"/>
    </row>
    <row r="27" spans="3:22" x14ac:dyDescent="0.35">
      <c r="C27" s="965" t="str">
        <f>template_label_undertaking_operating_in_more_than_one_country</f>
        <v>Does the undertaking operate in more than one country?</v>
      </c>
      <c r="D27" s="966"/>
      <c r="E27" s="639" t="b">
        <v>0</v>
      </c>
      <c r="F27" s="640"/>
      <c r="G27" s="640"/>
      <c r="H27" s="641"/>
    </row>
    <row r="28" spans="3:22" x14ac:dyDescent="0.35">
      <c r="C28" s="961" t="str">
        <f>template_label_country_of_employment_contract</f>
        <v>Country of employment contract</v>
      </c>
      <c r="D28" s="962"/>
      <c r="E28" s="963" t="str">
        <f>template_label_number_of_employees</f>
        <v>Number of employees</v>
      </c>
      <c r="F28" s="963"/>
      <c r="G28" s="963"/>
      <c r="H28" s="964"/>
    </row>
    <row r="29" spans="3:22" ht="14.5" customHeight="1" x14ac:dyDescent="0.35">
      <c r="C29" s="954"/>
      <c r="D29" s="955"/>
      <c r="E29" s="956"/>
      <c r="F29" s="956"/>
      <c r="G29" s="956"/>
      <c r="H29" s="957"/>
      <c r="I29" s="15" t="str">
        <f t="shared" ref="I29:I38" si="0">IF(
    AND(C29="", E29=""),
    "",
    IF(
        AND(C29&lt;&gt;"", E29=""),
        template_label_missing_value,
        IF(
            AND(C29&lt;&gt;"", E29&lt;&gt;""),
            IF(
                $E$29+$E$30+$E$31+$E$32+$E$33+$E$34+$E$35+$E$36+$E$37+$E$38&lt;$E$39,
                template_label_missing_value,
                IF(
                    COUNTIF($C$29:$C$38, C29) &gt; 1,
                    template_label_value_inconsistency,
                    template_label_ok
                )
            ),
            template_label_missing_value
        )
    )
)</f>
        <v/>
      </c>
      <c r="J29" s="925" t="str">
        <f>template_label_number_of_employees_warning</f>
        <v xml:space="preserve">ℹ️  Please make sure that the total number of employees is the same as the one provided in the "General Information" sheet cell E55
</v>
      </c>
      <c r="K29" s="925"/>
      <c r="L29" s="925"/>
      <c r="M29" s="925"/>
      <c r="N29" s="925"/>
      <c r="O29" s="925"/>
      <c r="P29" s="925"/>
      <c r="Q29" s="925"/>
      <c r="R29" s="925"/>
      <c r="S29" s="925"/>
      <c r="T29" s="925"/>
      <c r="U29" s="925"/>
      <c r="V29" s="925"/>
    </row>
    <row r="30" spans="3:22" x14ac:dyDescent="0.35">
      <c r="C30" s="954"/>
      <c r="D30" s="955"/>
      <c r="E30" s="956"/>
      <c r="F30" s="956"/>
      <c r="G30" s="956"/>
      <c r="H30" s="957"/>
      <c r="I30" s="15" t="str">
        <f t="shared" si="0"/>
        <v/>
      </c>
      <c r="J30" s="925"/>
      <c r="K30" s="925"/>
      <c r="L30" s="925"/>
      <c r="M30" s="925"/>
      <c r="N30" s="925"/>
      <c r="O30" s="925"/>
      <c r="P30" s="925"/>
      <c r="Q30" s="925"/>
      <c r="R30" s="925"/>
      <c r="S30" s="925"/>
      <c r="T30" s="925"/>
      <c r="U30" s="925"/>
      <c r="V30" s="925"/>
    </row>
    <row r="31" spans="3:22" x14ac:dyDescent="0.35">
      <c r="C31" s="954"/>
      <c r="D31" s="955"/>
      <c r="E31" s="956"/>
      <c r="F31" s="956"/>
      <c r="G31" s="956"/>
      <c r="H31" s="957"/>
      <c r="I31" s="15" t="str">
        <f t="shared" si="0"/>
        <v/>
      </c>
      <c r="J31" s="10" t="str">
        <f>template_label_additional_rows_warning</f>
        <v>ℹ️  Lists can be expanded using the little [+] button on the left.  If the number of rows is not sufficient, those can be added by right clicking the second row and selecting "Insert row".</v>
      </c>
    </row>
    <row r="32" spans="3:22" hidden="1" outlineLevel="1" x14ac:dyDescent="0.35">
      <c r="C32" s="954"/>
      <c r="D32" s="955"/>
      <c r="E32" s="956"/>
      <c r="F32" s="956"/>
      <c r="G32" s="956"/>
      <c r="H32" s="957"/>
      <c r="I32" s="15" t="str">
        <f t="shared" si="0"/>
        <v/>
      </c>
    </row>
    <row r="33" spans="3:9" hidden="1" outlineLevel="1" x14ac:dyDescent="0.35">
      <c r="C33" s="954"/>
      <c r="D33" s="955"/>
      <c r="E33" s="956"/>
      <c r="F33" s="956"/>
      <c r="G33" s="956"/>
      <c r="H33" s="957"/>
      <c r="I33" s="15" t="str">
        <f t="shared" si="0"/>
        <v/>
      </c>
    </row>
    <row r="34" spans="3:9" hidden="1" outlineLevel="1" x14ac:dyDescent="0.35">
      <c r="C34" s="954"/>
      <c r="D34" s="955"/>
      <c r="E34" s="956"/>
      <c r="F34" s="956"/>
      <c r="G34" s="956"/>
      <c r="H34" s="957"/>
      <c r="I34" s="15" t="str">
        <f t="shared" si="0"/>
        <v/>
      </c>
    </row>
    <row r="35" spans="3:9" hidden="1" outlineLevel="1" x14ac:dyDescent="0.35">
      <c r="C35" s="954"/>
      <c r="D35" s="955"/>
      <c r="E35" s="956"/>
      <c r="F35" s="956"/>
      <c r="G35" s="956"/>
      <c r="H35" s="957"/>
      <c r="I35" s="15" t="str">
        <f t="shared" si="0"/>
        <v/>
      </c>
    </row>
    <row r="36" spans="3:9" hidden="1" outlineLevel="1" x14ac:dyDescent="0.35">
      <c r="C36" s="954"/>
      <c r="D36" s="955"/>
      <c r="E36" s="956"/>
      <c r="F36" s="956"/>
      <c r="G36" s="956"/>
      <c r="H36" s="957"/>
      <c r="I36" s="15" t="str">
        <f t="shared" si="0"/>
        <v/>
      </c>
    </row>
    <row r="37" spans="3:9" hidden="1" outlineLevel="1" x14ac:dyDescent="0.35">
      <c r="C37" s="954"/>
      <c r="D37" s="955"/>
      <c r="E37" s="956"/>
      <c r="F37" s="956"/>
      <c r="G37" s="956"/>
      <c r="H37" s="957"/>
      <c r="I37" s="15" t="str">
        <f t="shared" si="0"/>
        <v/>
      </c>
    </row>
    <row r="38" spans="3:9" hidden="1" outlineLevel="1" x14ac:dyDescent="0.35">
      <c r="C38" s="954"/>
      <c r="D38" s="955"/>
      <c r="E38" s="956"/>
      <c r="F38" s="956"/>
      <c r="G38" s="956"/>
      <c r="H38" s="957"/>
      <c r="I38" s="15" t="str">
        <f t="shared" si="0"/>
        <v/>
      </c>
    </row>
    <row r="39" spans="3:9" ht="15" collapsed="1" thickBot="1" x14ac:dyDescent="0.4">
      <c r="C39" s="971" t="str">
        <f>template_label_total_employees</f>
        <v>Total employees (linked to B1)</v>
      </c>
      <c r="D39" s="972"/>
      <c r="E39" s="973" t="str">
        <f>IF('General Information'!$E$62="","-",'General Information'!$E$62)</f>
        <v>-</v>
      </c>
      <c r="F39" s="973"/>
      <c r="G39" s="973"/>
      <c r="H39" s="953"/>
      <c r="I39" s="15"/>
    </row>
    <row r="40" spans="3:9" ht="15" thickBot="1" x14ac:dyDescent="0.4"/>
    <row r="41" spans="3:9" x14ac:dyDescent="0.35">
      <c r="C41" s="958" t="str">
        <f>template_label_b8_workforce_general_characteristics_turnover_rate&amp;" "&amp;template_label_from&amp;" "&amp;template_starting_date_display&amp;" "&amp;template_label_to&amp;" "&amp;template_ending_date_display&amp;" "&amp;template_label_if_applicable</f>
        <v>B8 – Workforce – General characteristics - Turnover rate from - to - [If applicable]</v>
      </c>
      <c r="D41" s="959"/>
      <c r="E41" s="959"/>
      <c r="F41" s="959"/>
      <c r="G41" s="959"/>
      <c r="H41" s="960"/>
    </row>
    <row r="42" spans="3:9" x14ac:dyDescent="0.35">
      <c r="C42" s="516">
        <v>40</v>
      </c>
      <c r="D42" s="517"/>
      <c r="E42" s="517"/>
      <c r="F42" s="517"/>
      <c r="G42" s="517"/>
      <c r="H42" s="518"/>
    </row>
    <row r="43" spans="3:9" x14ac:dyDescent="0.35">
      <c r="C43" s="630">
        <v>118</v>
      </c>
      <c r="D43" s="631"/>
      <c r="E43" s="631"/>
      <c r="F43" s="631"/>
      <c r="G43" s="631"/>
      <c r="H43" s="632"/>
    </row>
    <row r="44" spans="3:9" x14ac:dyDescent="0.35">
      <c r="C44" s="155" t="str">
        <f>template_label_number_of_employees_who_left_during_the_reporting_period</f>
        <v>Number of employees who left during the reporting period</v>
      </c>
      <c r="D44" s="967"/>
      <c r="E44" s="967"/>
      <c r="F44" s="967"/>
      <c r="G44" s="967"/>
      <c r="H44" s="968"/>
      <c r="I44" s="15" t="str">
        <f>IF(
    AND('General Information'!$E$62&lt;50, D44=""),
    "",
    IF(
        AND('General Information'!$E$62&lt;50, D44&lt;&gt;""),
        template_label_ok,
        IF(
            AND('General Information'!$E$62&gt;=50, D44&lt;&gt;""),
            template_label_ok,
            template_label_missing_value
        )
    )
)</f>
        <v/>
      </c>
    </row>
    <row r="45" spans="3:9" x14ac:dyDescent="0.35">
      <c r="C45" s="155" t="str">
        <f>template_label_number_of_employees_at_the_beginning_of_the_reporting_period</f>
        <v>Number of employees at the beginning of the reporting period</v>
      </c>
      <c r="D45" s="967"/>
      <c r="E45" s="967"/>
      <c r="F45" s="967"/>
      <c r="G45" s="967"/>
      <c r="H45" s="968"/>
      <c r="I45" s="15" t="str">
        <f>IF(
    AND('General Information'!$E$62&lt;50, D45=""),
    "",
    IF(
        AND('General Information'!$E$62&lt;50, D45&lt;&gt;""),
        template_label_ok,
        IF(
            AND('General Information'!$E$62&gt;=50, D45&lt;&gt;""),
            template_label_ok,
            template_label_missing_value
        )
    )
)</f>
        <v/>
      </c>
    </row>
    <row r="46" spans="3:9" x14ac:dyDescent="0.35">
      <c r="C46" s="155" t="str">
        <f>template_label_number_of_employees_at_the_end_of_the_reporting_period</f>
        <v>Number of employees at the end of the reporting period</v>
      </c>
      <c r="D46" s="967"/>
      <c r="E46" s="967"/>
      <c r="F46" s="967"/>
      <c r="G46" s="967"/>
      <c r="H46" s="968"/>
      <c r="I46" s="15" t="str">
        <f>IF(
    AND('General Information'!$E$62&lt;50, D46=""),
    "",
    IF(
        AND('General Information'!$E$62&lt;50, D46&lt;&gt;""),
        template_label_ok,
        IF(
            AND('General Information'!$E$62&gt;=50, D46&lt;&gt;""),
            template_label_ok,
            template_label_missing_value
        )
    )
)</f>
        <v/>
      </c>
    </row>
    <row r="47" spans="3:9" ht="15" thickBot="1" x14ac:dyDescent="0.4">
      <c r="C47" s="101" t="str">
        <f>template_label_employee_turnover_rate_in_the_reporting_period</f>
        <v>Employee turnover rate [%]  in the reporting period</v>
      </c>
      <c r="D47" s="969" t="str">
        <f>IF(AND(D44&lt;&gt;"",D45&lt;&gt;"",D46&lt;&gt;""),(D44/((D45+D46)/2)),"-")</f>
        <v>-</v>
      </c>
      <c r="E47" s="969"/>
      <c r="F47" s="969"/>
      <c r="G47" s="969"/>
      <c r="H47" s="970"/>
    </row>
    <row r="48" spans="3:9" ht="15" thickBot="1" x14ac:dyDescent="0.4"/>
    <row r="49" spans="1:10" ht="15" thickBot="1" x14ac:dyDescent="0.4">
      <c r="C49" s="624" t="str">
        <f>template_label_b9_workforce_health_and_safety&amp;" "&amp;template_label_from&amp;" "&amp;template_starting_date_display&amp;" "&amp;template_label_to&amp;" "&amp;template_ending_date_display&amp;" "&amp;template_label_always_to_be_reported</f>
        <v>B9 – Workforce – Health and safety from - to - [Always to be reported]</v>
      </c>
      <c r="D49" s="625"/>
      <c r="E49" s="625"/>
      <c r="F49" s="625"/>
      <c r="G49" s="625"/>
      <c r="H49" s="626"/>
    </row>
    <row r="50" spans="1:10" x14ac:dyDescent="0.35">
      <c r="A50" s="462" t="s">
        <v>3758</v>
      </c>
      <c r="B50" s="465" t="s">
        <v>5661</v>
      </c>
      <c r="C50" s="260" t="str">
        <f>template_label_number_of_recordable_work_related_accidents_in_the_reporting_period</f>
        <v>Number of recordable work-related accidents in the reporting period</v>
      </c>
      <c r="D50" s="990"/>
      <c r="E50" s="990"/>
      <c r="F50" s="990"/>
      <c r="G50" s="990"/>
      <c r="H50" s="991"/>
      <c r="I50" s="15" t="str">
        <f>IF(
    AND(
        OR('General Information'!E32="Option A (Basic Module only)", 'General Information'!E32="Option B (Basic Module and Comprehensive Module)"),
        NumberOfRecordableWorkRelatedAccidentsInTheReportingPeriod=""
    ),
    template_label_missing_value,
    IF('General Information'!E32="", "", template_label_ok)
)</f>
        <v/>
      </c>
    </row>
    <row r="51" spans="1:10" x14ac:dyDescent="0.35">
      <c r="A51" s="462" t="s">
        <v>3758</v>
      </c>
      <c r="B51" s="465" t="s">
        <v>5661</v>
      </c>
      <c r="C51" s="156" t="str">
        <f>template_label_number_of_hours_worked_by_one_fulltime_employee_in_the_reporting_period</f>
        <v>Number of hours worked by  one full-time employee in the reporting period</v>
      </c>
      <c r="D51" s="992">
        <v>2000</v>
      </c>
      <c r="E51" s="993"/>
      <c r="F51" s="993"/>
      <c r="G51" s="993"/>
      <c r="H51" s="994"/>
      <c r="I51" s="15" t="str">
        <f>IF(D51="", "MISSING VALUE", IF(D51&lt;&gt;2000, "OK", ""))</f>
        <v/>
      </c>
      <c r="J51" s="10" t="str">
        <f>template_label_health_and_safety_formula_warning</f>
        <v>ℹ️  The undertaking can modify the value in this cell as 2,000 hours is based on the assumption that one full-time worker works 2,000 hours per year. This figure may vary by country or sector, depending on national rules or collective bargaining agreements.</v>
      </c>
    </row>
    <row r="52" spans="1:10" x14ac:dyDescent="0.35">
      <c r="A52" s="462" t="s">
        <v>3758</v>
      </c>
      <c r="B52" s="465" t="s">
        <v>5661</v>
      </c>
      <c r="C52" s="156" t="str">
        <f>template_label_total_number_of_hours_worked_in_a_year_by_all_employees_in_the_reporting_period</f>
        <v>Total number of hours worked in a year by all employees in the reporting period</v>
      </c>
      <c r="D52" s="995" t="str">
        <f>IF('General Information'!E62="","-",D51*'General Information'!E62)</f>
        <v>-</v>
      </c>
      <c r="E52" s="996"/>
      <c r="F52" s="996"/>
      <c r="G52" s="996"/>
      <c r="H52" s="997"/>
      <c r="I52" s="15"/>
    </row>
    <row r="53" spans="1:10" ht="15" thickBot="1" x14ac:dyDescent="0.4">
      <c r="A53" s="462" t="s">
        <v>3758</v>
      </c>
      <c r="B53" s="465" t="s">
        <v>5661</v>
      </c>
      <c r="C53" s="215" t="str">
        <f>template_label_rate_of_recordable_work_related_accidents_in_the_reporting_period</f>
        <v>Rate of recordable work-related accidents in the reporting period</v>
      </c>
      <c r="D53" s="998" t="str">
        <f>IFERROR(IF(AND(D50&lt;&gt;"", D52&lt;&gt;""), ($D$50/$D$52)*200000, "-"), "-")</f>
        <v>-</v>
      </c>
      <c r="E53" s="999"/>
      <c r="F53" s="999"/>
      <c r="G53" s="999"/>
      <c r="H53" s="1000"/>
    </row>
    <row r="54" spans="1:10" ht="15" thickBot="1" x14ac:dyDescent="0.4">
      <c r="A54" s="462" t="s">
        <v>3759</v>
      </c>
      <c r="B54" s="465" t="s">
        <v>5661</v>
      </c>
      <c r="C54" s="214" t="str">
        <f>template_label_number_of_fatalities_as_a_result_of_work_related_injuries_and_work_related_ill_health</f>
        <v>Number of fatalities as a result of work-related injuries and work-related ill health</v>
      </c>
      <c r="D54" s="974"/>
      <c r="E54" s="974"/>
      <c r="F54" s="974"/>
      <c r="G54" s="974"/>
      <c r="H54" s="975"/>
      <c r="I54" s="15" t="str">
        <f>IF(
    AND(
        OR('General Information'!E32="Option A (Basic Module only)", 'General Information'!E32="Option B (Basic Module and Comprehensive Module)"),
        NumberOfFatalitiesAsAResultOfWorkRelatedInjuriesAndWorkRelatedIllHealth=""
    ),
    template_label_missing_value,
    IF('General Information'!E32="", "", template_label_ok)
)</f>
        <v/>
      </c>
    </row>
    <row r="55" spans="1:10" ht="15" thickBot="1" x14ac:dyDescent="0.4"/>
    <row r="56" spans="1:10" x14ac:dyDescent="0.35">
      <c r="C56" s="976" t="str">
        <f>template_label_b10_workforce_remuneration_collective_bargaining_and_training&amp;" "&amp;template_label_from&amp;" "&amp;template_starting_date_display&amp;" "&amp;template_label_to&amp;" "&amp;template_ending_date_display&amp;" "&amp;template_label_always_to_be_reported_if_applicable</f>
        <v>B10 – Workforce – Remuneration collective bargaining and training from - to - [Always to be reported + If applicable]</v>
      </c>
      <c r="D56" s="977"/>
      <c r="E56" s="977"/>
      <c r="F56" s="977"/>
      <c r="G56" s="977"/>
      <c r="H56" s="978"/>
    </row>
    <row r="57" spans="1:10" ht="29.5" thickBot="1" x14ac:dyDescent="0.4">
      <c r="A57" s="462" t="s">
        <v>3760</v>
      </c>
      <c r="B57" s="462" t="s">
        <v>5662</v>
      </c>
      <c r="C57" s="212" t="str">
        <f>template_label_employees_receive_pay_that_is_equal_or_above_applicable_minimum_wage</f>
        <v>Employees receive pay that is equal or above applicable minimum wage determined directly by the national minimum wage law or through a collective bargaining agreement</v>
      </c>
      <c r="D57" s="979"/>
      <c r="E57" s="979"/>
      <c r="F57" s="979"/>
      <c r="G57" s="979"/>
      <c r="H57" s="980"/>
      <c r="I57" s="15" t="str">
        <f>IF(
    AND(
        OR('General Information'!E32="Option A (Basic Module only)", 'General Information'!E32="Option B (Basic Module and Comprehensive Module)"),
        EmployeesReceivePayEqualOrAboveMinimumWageDeterminedByNationalLawOrCollectiveAgreement=""
    ),
    template_label_missing_value,
    IF('General Information'!E32="", "", template_label_ok)
)</f>
        <v/>
      </c>
    </row>
    <row r="58" spans="1:10" x14ac:dyDescent="0.35">
      <c r="A58" s="472" t="s">
        <v>3761</v>
      </c>
      <c r="B58" s="474" t="s">
        <v>5663</v>
      </c>
      <c r="C58" s="213" t="str">
        <f>template_label_average_gross_hourly_pay_level_of_male_employees &amp; " " &amp; "(" &amp; template_label_amount_in &amp; " " &amp; template_currency &amp; ")"</f>
        <v>Average gross hourly pay level of male employees (amount in )</v>
      </c>
      <c r="D58" s="981"/>
      <c r="E58" s="982"/>
      <c r="F58" s="982"/>
      <c r="G58" s="982"/>
      <c r="H58" s="983"/>
      <c r="I58" s="15" t="str">
        <f>IF(
    AND('General Information'!$E$62&lt;150, D58=""),
    "",
    IF(
        AND('General Information'!$E$62&lt;150, D58&lt;&gt;""),
        template_label_ok,
        IF(
            AND('General Information'!$E$62&gt;=150, D58&lt;&gt;""),
            template_label_ok,
            template_label_missing_value
        )
    )
)</f>
        <v/>
      </c>
    </row>
    <row r="59" spans="1:10" x14ac:dyDescent="0.35">
      <c r="A59" s="472" t="s">
        <v>3761</v>
      </c>
      <c r="B59" s="474" t="s">
        <v>5663</v>
      </c>
      <c r="C59" s="157" t="str">
        <f>template_label_average_gross_hourly_pay_level_of_female_employees &amp; " " &amp; "(" &amp; template_label_amount_in &amp; " " &amp; template_currency &amp; ")"</f>
        <v>Average gross hourly pay level of female employees (amount in )</v>
      </c>
      <c r="D59" s="984"/>
      <c r="E59" s="985"/>
      <c r="F59" s="985"/>
      <c r="G59" s="985"/>
      <c r="H59" s="986"/>
      <c r="I59" s="15" t="str">
        <f>IF(
    AND('General Information'!$E$62&lt;150, D59=""),
    "",
    IF(
        AND('General Information'!$E$62&lt;150, D59&lt;&gt;""),
        template_label_ok,
        IF(
            AND('General Information'!$E$62&gt;=150, D59&lt;&gt;""),
            template_label_ok,
            template_label_missing_value
        )
    )
)</f>
        <v/>
      </c>
    </row>
    <row r="60" spans="1:10" ht="15" thickBot="1" x14ac:dyDescent="0.4">
      <c r="A60" s="472" t="s">
        <v>3761</v>
      </c>
      <c r="B60" s="474" t="s">
        <v>5663</v>
      </c>
      <c r="C60" s="158" t="str">
        <f>template_label_percentage_gap_in_pay_between_the__undertakings_female_and_male_employees</f>
        <v>Percentage gap in pay between the  undertaking's female and male employees [%]</v>
      </c>
      <c r="D60" s="987" t="str">
        <f>IF(AND(D58&lt;&gt;"",D59&lt;&gt;""),((D58-D59)/D58),"-")</f>
        <v>-</v>
      </c>
      <c r="E60" s="988"/>
      <c r="F60" s="988"/>
      <c r="G60" s="988"/>
      <c r="H60" s="989"/>
    </row>
    <row r="61" spans="1:10" x14ac:dyDescent="0.35">
      <c r="A61" s="1006" t="s">
        <v>3762</v>
      </c>
      <c r="B61" s="944" t="s">
        <v>5664</v>
      </c>
      <c r="C61" s="211" t="str">
        <f>template_label_number_of_employees_covered_by_collective_bargaining_agreements</f>
        <v>Number of employees covered by collective bargaining agreements</v>
      </c>
      <c r="D61" s="1008"/>
      <c r="E61" s="1009"/>
      <c r="F61" s="1009"/>
      <c r="G61" s="1009"/>
      <c r="H61" s="1010"/>
      <c r="I61" s="15" t="str">
        <f>IF(
    AND(
        OR('General Information'!E32="Option A (Basic Module only)", 'General Information'!E32="Option B (Basic Module and Comprehensive Module)"),
        D61=""
    ),
    template_label_missing_value,
    IF('General Information'!E32="", "", template_label_ok)
)</f>
        <v/>
      </c>
    </row>
    <row r="62" spans="1:10" ht="15" thickBot="1" x14ac:dyDescent="0.4">
      <c r="A62" s="1007"/>
      <c r="B62" s="702"/>
      <c r="C62" s="158" t="str">
        <f>template_label_percentage_of_employees_covered_by_collective_bargaining_agreements</f>
        <v>Percentage of employees covered by collective bargaining agreements [%]</v>
      </c>
      <c r="D62" s="1011" t="str">
        <f>IF(D61&lt;&gt;"", IF('General Information'!E62=0, "-", D61/'General Information'!E62), "-")</f>
        <v>-</v>
      </c>
      <c r="E62" s="1012"/>
      <c r="F62" s="1012"/>
      <c r="G62" s="1012"/>
      <c r="H62" s="1013"/>
    </row>
    <row r="63" spans="1:10" ht="15" thickBot="1" x14ac:dyDescent="0.4"/>
    <row r="64" spans="1:10" x14ac:dyDescent="0.35">
      <c r="C64" s="976" t="str">
        <f>template_label_number_of_annual_training_hours_per_employee_during_the_reporting_period&amp;" "&amp;template_label_from&amp;" "&amp;template_starting_date_display&amp;" "&amp;template_label_to&amp;" "&amp;template_ending_date_display&amp;" "&amp;template_label_always_to_be_reported</f>
        <v>Number of annual training hours per employee during the reporting period from - to - [Always to be reported]</v>
      </c>
      <c r="D64" s="977"/>
      <c r="E64" s="977"/>
      <c r="F64" s="977"/>
      <c r="G64" s="977"/>
      <c r="H64" s="978"/>
    </row>
    <row r="65" spans="1:9" x14ac:dyDescent="0.35">
      <c r="C65" s="516" t="s">
        <v>3763</v>
      </c>
      <c r="D65" s="517"/>
      <c r="E65" s="517"/>
      <c r="F65" s="517"/>
      <c r="G65" s="517"/>
      <c r="H65" s="518"/>
    </row>
    <row r="66" spans="1:9" x14ac:dyDescent="0.35">
      <c r="C66" s="153" t="str">
        <f>template_label_gender</f>
        <v>Gender</v>
      </c>
      <c r="D66" s="1001" t="str">
        <f>template_label_number_of_annual_training_hours_per_employee_during_the_reporting_period</f>
        <v>Number of annual training hours per employee during the reporting period</v>
      </c>
      <c r="E66" s="1001"/>
      <c r="F66" s="1001"/>
      <c r="G66" s="1001"/>
      <c r="H66" s="1002"/>
      <c r="I66" s="15"/>
    </row>
    <row r="67" spans="1:9" x14ac:dyDescent="0.35">
      <c r="C67" s="154" t="str">
        <f>template_label_male</f>
        <v>Male</v>
      </c>
      <c r="D67" s="1003"/>
      <c r="E67" s="1003"/>
      <c r="F67" s="1003"/>
      <c r="G67" s="1003"/>
      <c r="H67" s="1004"/>
      <c r="I67" s="1005" t="str">
        <f>IF(
    OR('General Information'!E32="Option A (Basic Module only)", 'General Information'!E32="Option B (Basic Module and Comprehensive Module)"),
    IF(OR(D67&lt;&gt;"", D68&lt;&gt;"", D69&lt;&gt;"", D70&lt;&gt;""), template_label_ok, template_label_missing_value),
    ""
)</f>
        <v/>
      </c>
    </row>
    <row r="68" spans="1:9" x14ac:dyDescent="0.35">
      <c r="C68" s="154" t="str">
        <f>template_label_female</f>
        <v>Female</v>
      </c>
      <c r="D68" s="1003"/>
      <c r="E68" s="1003"/>
      <c r="F68" s="1003"/>
      <c r="G68" s="1003"/>
      <c r="H68" s="1004"/>
      <c r="I68" s="1005"/>
    </row>
    <row r="69" spans="1:9" x14ac:dyDescent="0.35">
      <c r="C69" s="154" t="str">
        <f>template_label_other</f>
        <v>Other</v>
      </c>
      <c r="D69" s="1003"/>
      <c r="E69" s="1003"/>
      <c r="F69" s="1003"/>
      <c r="G69" s="1003"/>
      <c r="H69" s="1004"/>
      <c r="I69" s="1005"/>
    </row>
    <row r="70" spans="1:9" x14ac:dyDescent="0.35">
      <c r="C70" s="154" t="str">
        <f>template_label_not_reported</f>
        <v>Not reported</v>
      </c>
      <c r="D70" s="1003"/>
      <c r="E70" s="1003"/>
      <c r="F70" s="1003"/>
      <c r="G70" s="1003"/>
      <c r="H70" s="1004"/>
      <c r="I70" s="1005"/>
    </row>
    <row r="71" spans="1:9" x14ac:dyDescent="0.35">
      <c r="C71" s="1031" t="str">
        <f>template_label_average_number_of_annual_training_hours_per_employee</f>
        <v>Average number of annual training hours per employee</v>
      </c>
      <c r="D71" s="1032"/>
      <c r="E71" s="1032"/>
      <c r="F71" s="1032"/>
      <c r="G71" s="1032"/>
      <c r="H71" s="1033"/>
      <c r="I71" s="15"/>
    </row>
    <row r="72" spans="1:9" ht="15" thickBot="1" x14ac:dyDescent="0.4">
      <c r="C72" s="1034" t="str">
        <f>IFERROR(
    IF(
        AND(D18&lt;&gt;"",D18&lt;&gt;0,D19&lt;&gt;"",D19&lt;&gt;0,D20&lt;&gt;"",D20&lt;&gt;0,D21&lt;&gt;"",D21&lt;&gt;0),
        AVERAGE(D67:D70),
        IF(OR(D18="", D18=0), AVERAGE(D68:D70),
        IF(OR(D19="", D19=0), AVERAGE(D67,D69,D70),
        IF(OR(D20="", D20=0), AVERAGE(D67,D68,D70),
        IF(OR(D21="", D21=0), AVERAGE(D67,D68,D69), "-"))))
    ),
"-")</f>
        <v>-</v>
      </c>
      <c r="D72" s="1035"/>
      <c r="E72" s="1035"/>
      <c r="F72" s="1035"/>
      <c r="G72" s="1035"/>
      <c r="H72" s="1036"/>
      <c r="I72" s="15"/>
    </row>
    <row r="73" spans="1:9" ht="15" thickBot="1" x14ac:dyDescent="0.4"/>
    <row r="74" spans="1:9" ht="15" thickBot="1" x14ac:dyDescent="0.4">
      <c r="C74" s="1037" t="str">
        <f>template_label_c5_additional_workforce_characteristics&amp;" "&amp;template_label_from&amp;" "&amp;template_starting_date_display&amp;" "&amp;template_label_to&amp;" "&amp;template_ending_date_display&amp;" " &amp; template_label_may</f>
        <v>C5 – Additional (general) workforce characteristics from - to - [May (optional)]</v>
      </c>
      <c r="D74" s="1038"/>
      <c r="E74" s="1038"/>
      <c r="F74" s="1038"/>
      <c r="G74" s="1038"/>
      <c r="H74" s="1039"/>
    </row>
    <row r="75" spans="1:9" x14ac:dyDescent="0.35">
      <c r="A75" s="472">
        <v>59</v>
      </c>
      <c r="B75" s="473" t="s">
        <v>5665</v>
      </c>
      <c r="C75" s="159" t="str">
        <f>template_label_number_of_male_employees_at_management_level</f>
        <v>Number of male employees at management level</v>
      </c>
      <c r="D75" s="981"/>
      <c r="E75" s="982"/>
      <c r="F75" s="982"/>
      <c r="G75" s="982"/>
      <c r="H75" s="983"/>
      <c r="I75" s="15" t="str">
        <f>IF(D75&lt;&gt;"", template_label_ok, "")</f>
        <v/>
      </c>
    </row>
    <row r="76" spans="1:9" x14ac:dyDescent="0.35">
      <c r="A76" s="472">
        <v>59</v>
      </c>
      <c r="B76" s="473" t="s">
        <v>5665</v>
      </c>
      <c r="C76" s="160" t="str">
        <f>template_label_number_of_female_employees_at_management_level</f>
        <v>Number of female employees at management level</v>
      </c>
      <c r="D76" s="984"/>
      <c r="E76" s="985"/>
      <c r="F76" s="985"/>
      <c r="G76" s="985"/>
      <c r="H76" s="986"/>
      <c r="I76" s="15" t="str">
        <f>IF(D76&lt;&gt;"", template_label_ok, "")</f>
        <v/>
      </c>
    </row>
    <row r="77" spans="1:9" ht="15" thickBot="1" x14ac:dyDescent="0.4">
      <c r="A77" s="472">
        <v>59</v>
      </c>
      <c r="B77" s="473" t="s">
        <v>5665</v>
      </c>
      <c r="C77" s="158" t="str">
        <f>template_label_female_to_male_ratio_at_management_level_for_the_reporting_period</f>
        <v>Female-to-male ratio at management level for the reporting period</v>
      </c>
      <c r="D77" s="1040" t="str">
        <f>IF(AND(D75&lt;&gt;"",D76&lt;&gt;""),$D$76/$D$75,"-")</f>
        <v>-</v>
      </c>
      <c r="E77" s="1041"/>
      <c r="F77" s="1041"/>
      <c r="G77" s="1041"/>
      <c r="H77" s="1042"/>
    </row>
    <row r="78" spans="1:9" ht="29" x14ac:dyDescent="0.35">
      <c r="A78" s="462">
        <v>60</v>
      </c>
      <c r="B78" s="470" t="s">
        <v>5666</v>
      </c>
      <c r="C78" s="161" t="str">
        <f>template_label_total_self_employed_workers_without_personnel_that_are_working_exclusively_for_the_undertaking</f>
        <v>Total self-employed workers without personnel that are working exclusively for the undertaking</v>
      </c>
      <c r="D78" s="1014"/>
      <c r="E78" s="1015"/>
      <c r="F78" s="1015"/>
      <c r="G78" s="1015"/>
      <c r="H78" s="1016"/>
      <c r="I78" s="15" t="str">
        <f>IF(D78&lt;&gt;"", template_label_ok, "")</f>
        <v/>
      </c>
    </row>
    <row r="79" spans="1:9" ht="29.5" thickBot="1" x14ac:dyDescent="0.4">
      <c r="A79" s="462">
        <v>60</v>
      </c>
      <c r="B79" s="471" t="s">
        <v>5666</v>
      </c>
      <c r="C79" s="162" t="str">
        <f>template_label_total_temporary_workers_provided_by_undertakings_primarily_engaged_in_employment_activities</f>
        <v>Total temporary workers provided by undertakings primarily engaged in employment activities</v>
      </c>
      <c r="D79" s="1017"/>
      <c r="E79" s="1018"/>
      <c r="F79" s="1018"/>
      <c r="G79" s="1018"/>
      <c r="H79" s="1019"/>
      <c r="I79" s="15" t="str">
        <f>IF(D79&lt;&gt;"", template_label_ok, "")</f>
        <v/>
      </c>
    </row>
    <row r="80" spans="1:9" ht="15" thickBot="1" x14ac:dyDescent="0.4"/>
    <row r="81" spans="1:10" x14ac:dyDescent="0.35">
      <c r="C81" s="1020" t="str">
        <f>template_label_c6_additional_own_workforce_information_human_rights_policies_and_processes&amp;" "&amp;template_label_from&amp;" "&amp;template_starting_date_display&amp;" "&amp;template_label_to&amp;" "&amp;template_ending_date_display&amp;" "&amp;template_label_always_to_be_reported</f>
        <v>C6 – Additional own workforce information - Human rights policies and processes from - to - [Always to be reported]</v>
      </c>
      <c r="D81" s="1021"/>
      <c r="E81" s="1021"/>
      <c r="F81" s="1021"/>
      <c r="G81" s="1021"/>
      <c r="H81" s="1022"/>
    </row>
    <row r="82" spans="1:10" x14ac:dyDescent="0.35">
      <c r="A82" s="462" t="s">
        <v>3764</v>
      </c>
      <c r="B82" s="470">
        <v>173</v>
      </c>
      <c r="C82" s="163" t="str">
        <f>template_label_does_the_undertaking_have_a_code_of_conduct_or_human_rights_policy_for_its_own_workforce</f>
        <v>Does the undertaking have a code of conduct or human rights policy for its own workforce?</v>
      </c>
      <c r="D82" s="1023"/>
      <c r="E82" s="1024"/>
      <c r="F82" s="1024"/>
      <c r="G82" s="1024"/>
      <c r="H82" s="1025"/>
      <c r="I82" s="15" t="str">
        <f>IF(
    AND('General Information'!$E$32="Option B (Basic Module and Comprehensive Module)", D82&lt;&gt;""),
    template_label_ok,
    IF(
        AND('General Information'!$E$32="Option B (Basic Module and Comprehensive Module)", D82=""),
        template_label_missing_value,
        IF(
            AND('General Information'!$E$32="Option A (Basic Module only)", D82&lt;&gt;""),
            template_label_ok,
            ""
        )
    )
)</f>
        <v/>
      </c>
    </row>
    <row r="83" spans="1:10" x14ac:dyDescent="0.35">
      <c r="A83" s="463" t="s">
        <v>3765</v>
      </c>
      <c r="B83" s="470">
        <v>173</v>
      </c>
      <c r="C83" s="127" t="str">
        <f>template_label_if_yes_does_this_cover</f>
        <v>If yes does this cover:</v>
      </c>
      <c r="D83" s="1026"/>
      <c r="E83" s="1027"/>
      <c r="F83" s="1027"/>
      <c r="G83" s="1027"/>
      <c r="H83" s="1028"/>
    </row>
    <row r="84" spans="1:10" x14ac:dyDescent="0.35">
      <c r="A84" s="463" t="s">
        <v>3765</v>
      </c>
      <c r="B84" s="470">
        <v>173</v>
      </c>
      <c r="C84" s="164" t="str">
        <f>template_label_child_labour</f>
        <v>· child labour</v>
      </c>
      <c r="D84" s="1029" t="b">
        <v>0</v>
      </c>
      <c r="E84" s="1029"/>
      <c r="F84" s="1029"/>
      <c r="G84" s="1029"/>
      <c r="H84" s="1030"/>
      <c r="I84" s="1005" t="str">
        <f>IF(
    AND(OR(D84=TRUE,D85=TRUE,D86=TRUE,D87=TRUE,D88=TRUE,D89=TRUE), D82="YES"),
    template_label_ok,
    IF(
        AND(D84=FALSE,D85=FALSE,D86=FALSE,D87=FALSE,D88=FALSE,D89=FALSE, D82="YES"),
        template_label_missing_value,
        IF(
            AND(D84=FALSE,D85=FALSE,D86=FALSE,D87=FALSE,D88=FALSE,D89=FALSE, D82="NO"),
            "",
            IF(
                AND(D84=FALSE,D85=FALSE,D86=FALSE,D87=FALSE,D88=FALSE,D89=FALSE, D82=""),
                "",
                IF(
                    AND(OR(D84=TRUE,D85=TRUE,D86=TRUE,D87=TRUE,D88=TRUE,D89=TRUE), D82=""),
                    "",
                    template_label_value_inconsistency
                )
            )
        )
    )
)</f>
        <v/>
      </c>
    </row>
    <row r="85" spans="1:10" x14ac:dyDescent="0.35">
      <c r="A85" s="463" t="s">
        <v>3765</v>
      </c>
      <c r="B85" s="470">
        <v>173</v>
      </c>
      <c r="C85" s="164" t="str">
        <f>template_label_forced_labour</f>
        <v>· forced labour</v>
      </c>
      <c r="D85" s="1029" t="b">
        <v>0</v>
      </c>
      <c r="E85" s="1029"/>
      <c r="F85" s="1029"/>
      <c r="G85" s="1029"/>
      <c r="H85" s="1030"/>
      <c r="I85" s="1005"/>
    </row>
    <row r="86" spans="1:10" x14ac:dyDescent="0.35">
      <c r="A86" s="463" t="s">
        <v>3765</v>
      </c>
      <c r="B86" s="470">
        <v>173</v>
      </c>
      <c r="C86" s="164" t="str">
        <f>template_label_human_trafficking</f>
        <v>· human trafficking</v>
      </c>
      <c r="D86" s="1029" t="b">
        <v>0</v>
      </c>
      <c r="E86" s="1029"/>
      <c r="F86" s="1029"/>
      <c r="G86" s="1029"/>
      <c r="H86" s="1030"/>
      <c r="I86" s="1005"/>
    </row>
    <row r="87" spans="1:10" x14ac:dyDescent="0.35">
      <c r="A87" s="463" t="s">
        <v>3765</v>
      </c>
      <c r="B87" s="470">
        <v>173</v>
      </c>
      <c r="C87" s="164" t="str">
        <f>template_label_discrimination</f>
        <v>· discrimination</v>
      </c>
      <c r="D87" s="1029" t="b">
        <v>0</v>
      </c>
      <c r="E87" s="1029"/>
      <c r="F87" s="1029"/>
      <c r="G87" s="1029"/>
      <c r="H87" s="1030"/>
      <c r="I87" s="1005"/>
    </row>
    <row r="88" spans="1:10" x14ac:dyDescent="0.35">
      <c r="A88" s="463" t="s">
        <v>3765</v>
      </c>
      <c r="B88" s="470">
        <v>173</v>
      </c>
      <c r="C88" s="165" t="str">
        <f>template_label_accident_prevention</f>
        <v>· accident prevention</v>
      </c>
      <c r="D88" s="1051" t="b">
        <v>0</v>
      </c>
      <c r="E88" s="1029"/>
      <c r="F88" s="1029"/>
      <c r="G88" s="1029"/>
      <c r="H88" s="1030"/>
      <c r="I88" s="1005"/>
    </row>
    <row r="89" spans="1:10" x14ac:dyDescent="0.35">
      <c r="A89" s="463" t="s">
        <v>3765</v>
      </c>
      <c r="B89" s="470">
        <v>173</v>
      </c>
      <c r="C89" s="166" t="str">
        <f>template_label_other_if_yes_specify</f>
        <v>· other? ( if yes specify)</v>
      </c>
      <c r="D89" s="1029" t="b">
        <v>0</v>
      </c>
      <c r="E89" s="1029"/>
      <c r="F89" s="1029"/>
      <c r="G89" s="1029"/>
      <c r="H89" s="1030"/>
      <c r="I89" s="1005"/>
      <c r="J89" s="10" t="str">
        <f>template_label_other_warning</f>
        <v>ℹ️ When "other" is chosen as undertaking legal form please fill the row below</v>
      </c>
    </row>
    <row r="90" spans="1:10" ht="33.65" customHeight="1" x14ac:dyDescent="0.35">
      <c r="A90" s="463" t="s">
        <v>3765</v>
      </c>
      <c r="B90" s="470">
        <v>173</v>
      </c>
      <c r="C90" s="99" t="str">
        <f>template_label_specify_other_types_of_content_covered_by_the_code_of_conduct_or_human_rights_policy</f>
        <v>Specify other types of content covered by the code of conduct or human rights policy</v>
      </c>
      <c r="D90" s="1043"/>
      <c r="E90" s="1043"/>
      <c r="F90" s="1043"/>
      <c r="G90" s="1043"/>
      <c r="H90" s="1044"/>
      <c r="I90" s="15" t="str">
        <f>IF(AND(D89=TRUE,D90&lt;&gt;""), template_label_ok,
IF(AND(D89=TRUE,D90=""), template_label_missing_value,
IF(AND(D89=FALSE,D90&lt;&gt;""), template_label_missing_value,
"")))</f>
        <v/>
      </c>
    </row>
    <row r="91" spans="1:10" ht="31.25" customHeight="1" thickBot="1" x14ac:dyDescent="0.4">
      <c r="A91" s="465" t="s">
        <v>3766</v>
      </c>
      <c r="B91" s="471">
        <v>173</v>
      </c>
      <c r="C91" s="167" t="str">
        <f>template_label_does_the_undertaking_have_a_complaint_handling_mechanism_for_its_own_workforce</f>
        <v>Does the undertaking have a complaint-handling mechanism for its own workforce?</v>
      </c>
      <c r="D91" s="1045"/>
      <c r="E91" s="1046"/>
      <c r="F91" s="1046"/>
      <c r="G91" s="1046"/>
      <c r="H91" s="1047"/>
      <c r="I91" s="15" t="str">
        <f>IF(AND('General Information'!$E$32="Option B (Basic Module and Comprehensive Module)",D91&lt;&gt;""), template_label_ok,
IF(AND('General Information'!$E$32="Option B (Basic Module and Comprehensive Module)",D91=""), template_label_missing_value,
IF(AND('General Information'!$E$32="Option A (Basic Module only)",D91&lt;&gt;""), template_label_ok,
"")))</f>
        <v/>
      </c>
    </row>
    <row r="92" spans="1:10" ht="15" thickBot="1" x14ac:dyDescent="0.4"/>
    <row r="93" spans="1:10" x14ac:dyDescent="0.35">
      <c r="C93" s="1020" t="str">
        <f>template_label_c7_severe_negative_human_rights_incidents&amp;" "&amp;template_label_from&amp;" "&amp;template_starting_date_display&amp;" "&amp;template_label_to&amp;" "&amp;template_ending_date_display&amp;" "&amp;template_label_always_to_be_reported</f>
        <v>C7 – Severe negative human rights incidents from - to - [Always to be reported]</v>
      </c>
      <c r="D93" s="1021"/>
      <c r="E93" s="1021"/>
      <c r="F93" s="1021"/>
      <c r="G93" s="1021"/>
      <c r="H93" s="1022"/>
    </row>
    <row r="94" spans="1:10" x14ac:dyDescent="0.35">
      <c r="A94" s="462">
        <v>62</v>
      </c>
      <c r="B94" s="470">
        <v>174</v>
      </c>
      <c r="C94" s="168" t="str">
        <f>template_label_does_the_undertaking_have_confirmed_incidents_in_its_own_workforce</f>
        <v>Does the undertaking have confirmed incidents in its own workforce?</v>
      </c>
      <c r="D94" s="874"/>
      <c r="E94" s="874"/>
      <c r="F94" s="874"/>
      <c r="G94" s="874"/>
      <c r="H94" s="1048"/>
      <c r="I94" s="15" t="str">
        <f>IF(AND('General Information'!$E$32="Option B (Basic Module and Comprehensive Module)",D94&lt;&gt;""), template_label_ok,
IF(AND('General Information'!$E$32="Option B (Basic Module and Comprehensive Module)",D94=""), template_label_missing_value,
IF(AND('General Information'!$E$32="Option A (Basic Module only)",D94&lt;&gt;""), template_label_ok,
"")))</f>
        <v/>
      </c>
    </row>
    <row r="95" spans="1:10" x14ac:dyDescent="0.35">
      <c r="A95" s="462" t="s">
        <v>3767</v>
      </c>
      <c r="B95" s="470">
        <v>174</v>
      </c>
      <c r="C95" s="168" t="str">
        <f>template_label_if_yes_are_incidents_related_to</f>
        <v>If yes are incidents related to:</v>
      </c>
      <c r="D95" s="1026"/>
      <c r="E95" s="1027"/>
      <c r="F95" s="1027"/>
      <c r="G95" s="1027"/>
      <c r="H95" s="1028"/>
    </row>
    <row r="96" spans="1:10" x14ac:dyDescent="0.35">
      <c r="A96" s="462" t="s">
        <v>3767</v>
      </c>
      <c r="B96" s="470">
        <v>174</v>
      </c>
      <c r="C96" s="166" t="str">
        <f>template_label_child_labour</f>
        <v>· child labour</v>
      </c>
      <c r="D96" s="1049" t="b">
        <v>0</v>
      </c>
      <c r="E96" s="1049"/>
      <c r="F96" s="1049"/>
      <c r="G96" s="1049"/>
      <c r="H96" s="1050"/>
      <c r="I96" s="1005" t="str" cm="1">
        <f t="array" ref="I96">IF(AND(OR(D96=TRUE,D97=TRUE,D98=TRUE,D99=TRUE,D100=TRUE),D94="YES"), template_label_ok,
IF(AND(D96=FALSE,D97=FALSE,D98=FALSE,D99=FALSE,D100=FALSE,D94="YES"), template_label_missing_value,
IF(AND(D96=FALSE,D97=FALSE,D98=FALSE,D99=FALSE,D100=FALSE,D94=""), "",
IF(AND(D96=FALSE,D97=FALSE,D98=FALSE,D99=FALSE,D100=FALSE,D94="NO"), "",
IF(AND(OR(D96:D100=TRUE),D94=""), "",
template_label_value_inconsistency)))))</f>
        <v/>
      </c>
    </row>
    <row r="97" spans="1:10" x14ac:dyDescent="0.35">
      <c r="A97" s="462" t="s">
        <v>3767</v>
      </c>
      <c r="B97" s="470">
        <v>174</v>
      </c>
      <c r="C97" s="166" t="str">
        <f>template_label_forced_labour</f>
        <v>· forced labour</v>
      </c>
      <c r="D97" s="1049" t="b">
        <v>0</v>
      </c>
      <c r="E97" s="1049"/>
      <c r="F97" s="1049"/>
      <c r="G97" s="1049"/>
      <c r="H97" s="1050"/>
      <c r="I97" s="1005"/>
    </row>
    <row r="98" spans="1:10" x14ac:dyDescent="0.35">
      <c r="A98" s="462" t="s">
        <v>3767</v>
      </c>
      <c r="B98" s="470">
        <v>174</v>
      </c>
      <c r="C98" s="166" t="str">
        <f>template_label_human_trafficking</f>
        <v>· human trafficking</v>
      </c>
      <c r="D98" s="1049" t="b">
        <v>0</v>
      </c>
      <c r="E98" s="1049"/>
      <c r="F98" s="1049"/>
      <c r="G98" s="1049"/>
      <c r="H98" s="1050"/>
      <c r="I98" s="1005"/>
    </row>
    <row r="99" spans="1:10" x14ac:dyDescent="0.35">
      <c r="A99" s="462" t="s">
        <v>3767</v>
      </c>
      <c r="B99" s="470">
        <v>174</v>
      </c>
      <c r="C99" s="166" t="str">
        <f>template_label_discrimination</f>
        <v>· discrimination</v>
      </c>
      <c r="D99" s="1049" t="b">
        <v>0</v>
      </c>
      <c r="E99" s="1049"/>
      <c r="F99" s="1049"/>
      <c r="G99" s="1049"/>
      <c r="H99" s="1050"/>
      <c r="I99" s="1005"/>
    </row>
    <row r="100" spans="1:10" x14ac:dyDescent="0.35">
      <c r="A100" s="462" t="s">
        <v>3767</v>
      </c>
      <c r="B100" s="470">
        <v>174</v>
      </c>
      <c r="C100" s="166" t="str">
        <f>template_label_other_if_yes_specify</f>
        <v>· other? ( if yes specify)</v>
      </c>
      <c r="D100" s="1049" t="b">
        <v>0</v>
      </c>
      <c r="E100" s="1049"/>
      <c r="F100" s="1049"/>
      <c r="G100" s="1049"/>
      <c r="H100" s="1050"/>
      <c r="I100" s="1005"/>
      <c r="J100" s="10" t="str">
        <f>template_label_other_warning</f>
        <v>ℹ️ When "other" is chosen as undertaking legal form please fill the row below</v>
      </c>
    </row>
    <row r="101" spans="1:10" x14ac:dyDescent="0.35">
      <c r="A101" s="462" t="s">
        <v>3767</v>
      </c>
      <c r="B101" s="470">
        <v>174</v>
      </c>
      <c r="C101" s="99" t="str">
        <f>template_label_specify_other_human_rights_related_to_the_confirmed_incidents</f>
        <v>Specify other human rights related to the confirmed incidents</v>
      </c>
      <c r="D101" s="1058"/>
      <c r="E101" s="1058"/>
      <c r="F101" s="1058"/>
      <c r="G101" s="1058"/>
      <c r="H101" s="1059"/>
      <c r="I101" s="15" t="str">
        <f>IF(AND(D100=TRUE,D101&lt;&gt;""), template_label_ok,
IF(AND(D100=TRUE,D101=""), template_label_missing_value,
IF(AND(D100=FALSE,D101&lt;&gt;""), template_label_missing_value, "")))</f>
        <v/>
      </c>
    </row>
    <row r="102" spans="1:10" x14ac:dyDescent="0.35">
      <c r="A102" s="462" t="s">
        <v>3768</v>
      </c>
      <c r="B102" s="470">
        <v>174</v>
      </c>
      <c r="C102" s="99" t="str">
        <f>template_label_description_of_actions_taken_to_address_the_confirmed_incidents</f>
        <v>Description of actions taken to address the confirmed incidents</v>
      </c>
      <c r="D102" s="1052"/>
      <c r="E102" s="1053"/>
      <c r="F102" s="1053"/>
      <c r="G102" s="1053"/>
      <c r="H102" s="1054"/>
      <c r="I102" s="15" t="str">
        <f>IF(D102&lt;&gt;"",template_label_ok,"")</f>
        <v/>
      </c>
    </row>
    <row r="103" spans="1:10" ht="29" x14ac:dyDescent="0.35">
      <c r="A103" s="462" t="s">
        <v>3728</v>
      </c>
      <c r="B103" s="470">
        <v>174</v>
      </c>
      <c r="C103" s="127" t="str">
        <f>template_label_is_the_undertaking_aware_of_any_confirmed_incidents_involving_workers</f>
        <v>Is the undertaking aware of any confirmed incidents involving workers in the value chain affected communities consumers and end-users?</v>
      </c>
      <c r="D103" s="874"/>
      <c r="E103" s="874"/>
      <c r="F103" s="874"/>
      <c r="G103" s="874"/>
      <c r="H103" s="1048"/>
      <c r="I103" s="15" t="str">
        <f>IF(AND('General Information'!$E$32="Option B (Basic Module and Comprehensive Module)",D103&lt;&gt;""), template_label_ok,
IF(AND('General Information'!$E$32="Option B (Basic Module and Comprehensive Module)",D103=""), template_label_missing_value,
IF(AND('General Information'!$E$32="Option A (Basic Module only)",D103&lt;&gt;""), template_label_ok, "")))</f>
        <v/>
      </c>
    </row>
    <row r="104" spans="1:10" ht="29.5" thickBot="1" x14ac:dyDescent="0.4">
      <c r="A104" s="462" t="s">
        <v>3728</v>
      </c>
      <c r="B104" s="471">
        <v>174</v>
      </c>
      <c r="C104" s="249" t="str">
        <f>template_label_specification_of_any_confirmed_incident_involving_workers</f>
        <v>Specification of any confirmed incident involving workers in the value chain affected communities consumers and end-users</v>
      </c>
      <c r="D104" s="1055"/>
      <c r="E104" s="1055"/>
      <c r="F104" s="1055"/>
      <c r="G104" s="1055"/>
      <c r="H104" s="1056"/>
      <c r="I104" s="15" t="str">
        <f>IF(AND(D103="YES",D104&lt;&gt;""), template_label_ok,
IF(AND(D103="YES",D104=""), template_label_missing_value,
IF(AND(D103="NO",D104&lt;&gt;""), template_label_missing_value, "")))</f>
        <v/>
      </c>
    </row>
    <row r="107" spans="1:10" ht="15" thickBot="1" x14ac:dyDescent="0.4"/>
    <row r="108" spans="1:10" x14ac:dyDescent="0.35">
      <c r="C108" s="540" t="str">
        <f>template_label_disclosure_of_any_other_social_and_or_entity_specific_social_disclosures&amp;" "&amp;template_label_from&amp;" "&amp;template_starting_date_display&amp;" "&amp;template_label_to&amp;" "&amp;template_ending_date_display&amp;" " &amp; template_label_may</f>
        <v>Disclosure of any other social and or entity specific social disclosures from - to - [May (optional)]</v>
      </c>
      <c r="D108" s="541"/>
      <c r="E108" s="541"/>
      <c r="F108" s="541"/>
      <c r="G108" s="541"/>
      <c r="H108" s="542"/>
    </row>
    <row r="109" spans="1:10" x14ac:dyDescent="0.35">
      <c r="C109" s="706">
        <v>10</v>
      </c>
      <c r="D109" s="538"/>
      <c r="E109" s="538"/>
      <c r="F109" s="538"/>
      <c r="G109" s="538"/>
      <c r="H109" s="539"/>
    </row>
    <row r="110" spans="1:10" ht="15" thickBot="1" x14ac:dyDescent="0.4">
      <c r="C110" s="534"/>
      <c r="D110" s="535"/>
      <c r="E110" s="535"/>
      <c r="F110" s="535"/>
      <c r="G110" s="535"/>
      <c r="H110" s="1057"/>
      <c r="I110" s="15" t="str">
        <f>IF(C110&lt;&gt;"", template_label_ok, "")</f>
        <v/>
      </c>
    </row>
  </sheetData>
  <sheetProtection algorithmName="SHA-512" hashValue="q1ToumJHW6ZIZSdZZi9hlH/JUlnqBq/GsjH2qlVlK88jmGwJ3r5bBEFcQ9yapN1Bni1OCeSmAg19oF+nSR+94Q==" saltValue="xWydidnt5+Ud5i86W658Rg==" spinCount="100000" sheet="1" formatColumns="0" formatRows="0" insertRows="0"/>
  <mergeCells count="118">
    <mergeCell ref="D102:H102"/>
    <mergeCell ref="D103:H103"/>
    <mergeCell ref="D104:H104"/>
    <mergeCell ref="C108:H108"/>
    <mergeCell ref="C109:H109"/>
    <mergeCell ref="C110:H110"/>
    <mergeCell ref="I96:I100"/>
    <mergeCell ref="D97:H97"/>
    <mergeCell ref="D98:H98"/>
    <mergeCell ref="D99:H99"/>
    <mergeCell ref="D100:H100"/>
    <mergeCell ref="D101:H101"/>
    <mergeCell ref="D90:H90"/>
    <mergeCell ref="D91:H91"/>
    <mergeCell ref="C93:H93"/>
    <mergeCell ref="D94:H94"/>
    <mergeCell ref="D95:H95"/>
    <mergeCell ref="D96:H96"/>
    <mergeCell ref="I84:I89"/>
    <mergeCell ref="D85:H85"/>
    <mergeCell ref="D86:H86"/>
    <mergeCell ref="D87:H87"/>
    <mergeCell ref="D88:H88"/>
    <mergeCell ref="D89:H89"/>
    <mergeCell ref="D78:H78"/>
    <mergeCell ref="D79:H79"/>
    <mergeCell ref="C81:H81"/>
    <mergeCell ref="D82:H82"/>
    <mergeCell ref="D83:H83"/>
    <mergeCell ref="D84:H84"/>
    <mergeCell ref="C71:H71"/>
    <mergeCell ref="C72:H72"/>
    <mergeCell ref="C74:H74"/>
    <mergeCell ref="D75:H75"/>
    <mergeCell ref="D76:H76"/>
    <mergeCell ref="D77:H77"/>
    <mergeCell ref="D66:H66"/>
    <mergeCell ref="D67:H67"/>
    <mergeCell ref="I67:I70"/>
    <mergeCell ref="D68:H68"/>
    <mergeCell ref="D69:H69"/>
    <mergeCell ref="D70:H70"/>
    <mergeCell ref="A61:A62"/>
    <mergeCell ref="B61:B62"/>
    <mergeCell ref="D61:H61"/>
    <mergeCell ref="D62:H62"/>
    <mergeCell ref="C64:H64"/>
    <mergeCell ref="C65:H65"/>
    <mergeCell ref="D54:H54"/>
    <mergeCell ref="C56:H56"/>
    <mergeCell ref="D57:H57"/>
    <mergeCell ref="D58:H58"/>
    <mergeCell ref="D59:H59"/>
    <mergeCell ref="D60:H60"/>
    <mergeCell ref="C49:H49"/>
    <mergeCell ref="D50:H50"/>
    <mergeCell ref="D51:H51"/>
    <mergeCell ref="D52:H52"/>
    <mergeCell ref="D53:H53"/>
    <mergeCell ref="C43:H43"/>
    <mergeCell ref="D44:H44"/>
    <mergeCell ref="D45:H45"/>
    <mergeCell ref="D46:H46"/>
    <mergeCell ref="D47:H47"/>
    <mergeCell ref="C38:D38"/>
    <mergeCell ref="E38:H38"/>
    <mergeCell ref="C39:D39"/>
    <mergeCell ref="E39:H39"/>
    <mergeCell ref="C41:H41"/>
    <mergeCell ref="C42:H42"/>
    <mergeCell ref="C35:D35"/>
    <mergeCell ref="E35:H35"/>
    <mergeCell ref="C36:D36"/>
    <mergeCell ref="E36:H36"/>
    <mergeCell ref="C37:D37"/>
    <mergeCell ref="E37:H37"/>
    <mergeCell ref="C32:D32"/>
    <mergeCell ref="E32:H32"/>
    <mergeCell ref="C33:D33"/>
    <mergeCell ref="E33:H33"/>
    <mergeCell ref="C34:D34"/>
    <mergeCell ref="E34:H34"/>
    <mergeCell ref="C30:D30"/>
    <mergeCell ref="E30:H30"/>
    <mergeCell ref="C31:D31"/>
    <mergeCell ref="E31:H31"/>
    <mergeCell ref="D22:G22"/>
    <mergeCell ref="C24:H24"/>
    <mergeCell ref="C25:H25"/>
    <mergeCell ref="C26:H26"/>
    <mergeCell ref="C28:D28"/>
    <mergeCell ref="E28:H28"/>
    <mergeCell ref="C27:D27"/>
    <mergeCell ref="E27:H27"/>
    <mergeCell ref="I18:M21"/>
    <mergeCell ref="J29:V30"/>
    <mergeCell ref="C2:E2"/>
    <mergeCell ref="F2:H2"/>
    <mergeCell ref="C3:E3"/>
    <mergeCell ref="F3:H3"/>
    <mergeCell ref="C6:G6"/>
    <mergeCell ref="C7:G7"/>
    <mergeCell ref="C15:G15"/>
    <mergeCell ref="C16:G16"/>
    <mergeCell ref="D17:G17"/>
    <mergeCell ref="D18:G18"/>
    <mergeCell ref="H18:H21"/>
    <mergeCell ref="D19:G19"/>
    <mergeCell ref="D20:G20"/>
    <mergeCell ref="D21:G21"/>
    <mergeCell ref="C8:G8"/>
    <mergeCell ref="D9:G9"/>
    <mergeCell ref="D10:G10"/>
    <mergeCell ref="D11:G11"/>
    <mergeCell ref="D12:G12"/>
    <mergeCell ref="C14:G14"/>
    <mergeCell ref="C29:D29"/>
    <mergeCell ref="E29:H29"/>
  </mergeCells>
  <phoneticPr fontId="3" type="noConversion"/>
  <conditionalFormatting sqref="D90">
    <cfRule type="expression" dxfId="246" priority="28">
      <formula>$D$89=TRUE</formula>
    </cfRule>
  </conditionalFormatting>
  <conditionalFormatting sqref="D101:D102">
    <cfRule type="expression" dxfId="245" priority="17">
      <formula>$D$100=TRUE</formula>
    </cfRule>
  </conditionalFormatting>
  <conditionalFormatting sqref="D104">
    <cfRule type="expression" dxfId="244" priority="16">
      <formula>$D$103="YES"</formula>
    </cfRule>
  </conditionalFormatting>
  <conditionalFormatting sqref="D84:H89">
    <cfRule type="expression" dxfId="241" priority="33">
      <formula>$D$82="YES"</formula>
    </cfRule>
  </conditionalFormatting>
  <conditionalFormatting sqref="D96:H100">
    <cfRule type="expression" dxfId="239" priority="22">
      <formula>$D$94="YES"</formula>
    </cfRule>
  </conditionalFormatting>
  <conditionalFormatting sqref="D102:H102">
    <cfRule type="expression" dxfId="238" priority="9">
      <formula>$D$94="YES"</formula>
    </cfRule>
  </conditionalFormatting>
  <conditionalFormatting sqref="E27">
    <cfRule type="expression" dxfId="237" priority="2">
      <formula>$D$82="YES"</formula>
    </cfRule>
  </conditionalFormatting>
  <conditionalFormatting sqref="E29:H29">
    <cfRule type="expression" dxfId="235" priority="1">
      <formula>$E$27=TRUE</formula>
    </cfRule>
  </conditionalFormatting>
  <conditionalFormatting sqref="E29:H38">
    <cfRule type="expression" dxfId="234" priority="59">
      <formula>$C29&lt;&gt;""</formula>
    </cfRule>
  </conditionalFormatting>
  <conditionalFormatting sqref="E30:H38">
    <cfRule type="expression" dxfId="233" priority="60">
      <formula>$D30=""</formula>
    </cfRule>
  </conditionalFormatting>
  <conditionalFormatting sqref="H10:H11">
    <cfRule type="expression" dxfId="232" priority="71">
      <formula>$H10=template_label_ok</formula>
    </cfRule>
    <cfRule type="expression" dxfId="231" priority="70">
      <formula>$H10=template_label_missing_value</formula>
    </cfRule>
  </conditionalFormatting>
  <conditionalFormatting sqref="H12">
    <cfRule type="expression" dxfId="230" priority="73">
      <formula>$H$12="VALUE INCONSISTENCY"</formula>
    </cfRule>
    <cfRule type="expression" dxfId="229" priority="72">
      <formula>$H$12="OK"</formula>
    </cfRule>
  </conditionalFormatting>
  <conditionalFormatting sqref="H18:H21">
    <cfRule type="expression" dxfId="228" priority="65">
      <formula>$H$18=template_label_missing_value</formula>
    </cfRule>
    <cfRule type="expression" dxfId="227" priority="66">
      <formula>$H$18=template_label_ok</formula>
    </cfRule>
  </conditionalFormatting>
  <conditionalFormatting sqref="H22">
    <cfRule type="expression" dxfId="226" priority="67">
      <formula>$H$22="VALUE INCONSISTENCY"</formula>
    </cfRule>
    <cfRule type="expression" dxfId="225" priority="68">
      <formula>$H$22="MISSING VALUE"</formula>
    </cfRule>
    <cfRule type="expression" dxfId="224" priority="69">
      <formula>$H$22="OK"</formula>
    </cfRule>
  </conditionalFormatting>
  <conditionalFormatting sqref="I29:I38">
    <cfRule type="expression" dxfId="223" priority="64">
      <formula>$I29=template_label_missing_value</formula>
    </cfRule>
    <cfRule type="expression" dxfId="222" priority="63">
      <formula>$I29=template_label_ok</formula>
    </cfRule>
    <cfRule type="expression" dxfId="221" priority="4">
      <formula>$I29=template_label_value_inconsistency</formula>
    </cfRule>
  </conditionalFormatting>
  <conditionalFormatting sqref="I39">
    <cfRule type="expression" dxfId="220" priority="61">
      <formula>$I$39="OK"</formula>
    </cfRule>
    <cfRule type="expression" dxfId="219" priority="62">
      <formula>$I$39="VALUE INCONSISTENCY"</formula>
    </cfRule>
  </conditionalFormatting>
  <conditionalFormatting sqref="I44:I46">
    <cfRule type="expression" dxfId="218" priority="57">
      <formula>$I44=template_label_missing_value</formula>
    </cfRule>
    <cfRule type="expression" dxfId="217" priority="58">
      <formula>$I44=template_label_ok</formula>
    </cfRule>
  </conditionalFormatting>
  <conditionalFormatting sqref="I50:I51">
    <cfRule type="expression" dxfId="216" priority="54">
      <formula>$I50=template_label_missing_value</formula>
    </cfRule>
    <cfRule type="expression" dxfId="215" priority="55">
      <formula>$I50=template_label_ok</formula>
    </cfRule>
  </conditionalFormatting>
  <conditionalFormatting sqref="I52">
    <cfRule type="expression" dxfId="214" priority="51">
      <formula>$I$52="MISSING VALUE"</formula>
    </cfRule>
    <cfRule type="expression" dxfId="213" priority="50">
      <formula>$I$52="OK"</formula>
    </cfRule>
  </conditionalFormatting>
  <conditionalFormatting sqref="I54">
    <cfRule type="expression" dxfId="212" priority="52">
      <formula>$I$54=template_label_missing_value</formula>
    </cfRule>
    <cfRule type="expression" dxfId="211" priority="53">
      <formula>$I$54=template_label_ok</formula>
    </cfRule>
  </conditionalFormatting>
  <conditionalFormatting sqref="I57">
    <cfRule type="expression" dxfId="210" priority="45">
      <formula>$I$57=template_label_ok</formula>
    </cfRule>
    <cfRule type="expression" dxfId="209" priority="44">
      <formula>$I$57=template_label_missing_value</formula>
    </cfRule>
  </conditionalFormatting>
  <conditionalFormatting sqref="I58:I59">
    <cfRule type="expression" dxfId="208" priority="49">
      <formula>$I58=template_label_missing_value</formula>
    </cfRule>
    <cfRule type="expression" dxfId="207" priority="48">
      <formula>$I58=template_label_ok</formula>
    </cfRule>
  </conditionalFormatting>
  <conditionalFormatting sqref="I61">
    <cfRule type="expression" dxfId="206" priority="47">
      <formula>$I$61=template_label_missing_value</formula>
    </cfRule>
    <cfRule type="expression" dxfId="205" priority="46">
      <formula>$I$61=template_label_ok</formula>
    </cfRule>
  </conditionalFormatting>
  <conditionalFormatting sqref="I66:I67 I71">
    <cfRule type="expression" dxfId="204" priority="41">
      <formula>$I66=template_label_ok</formula>
    </cfRule>
    <cfRule type="expression" dxfId="203" priority="42">
      <formula>$I66=template_label_missing_value</formula>
    </cfRule>
  </conditionalFormatting>
  <conditionalFormatting sqref="I75">
    <cfRule type="expression" dxfId="202" priority="40">
      <formula>$I$75=template_label_ok</formula>
    </cfRule>
  </conditionalFormatting>
  <conditionalFormatting sqref="I76">
    <cfRule type="expression" dxfId="201" priority="39">
      <formula>$I$76=template_label_ok</formula>
    </cfRule>
  </conditionalFormatting>
  <conditionalFormatting sqref="I78">
    <cfRule type="expression" dxfId="200" priority="38">
      <formula>$I$78=template_label_ok</formula>
    </cfRule>
  </conditionalFormatting>
  <conditionalFormatting sqref="I79">
    <cfRule type="expression" dxfId="199" priority="37">
      <formula>$I$79=template_label_ok</formula>
    </cfRule>
  </conditionalFormatting>
  <conditionalFormatting sqref="I82">
    <cfRule type="expression" dxfId="198" priority="29">
      <formula>$I$82=template_label_missing_value</formula>
    </cfRule>
    <cfRule type="expression" dxfId="197" priority="30">
      <formula>$I$82=template_label_ok</formula>
    </cfRule>
  </conditionalFormatting>
  <conditionalFormatting sqref="I84:I89">
    <cfRule type="expression" dxfId="196" priority="25">
      <formula>$I$84=template_label_ok</formula>
    </cfRule>
    <cfRule type="expression" dxfId="195" priority="24">
      <formula>$I$84=template_label_missing_value</formula>
    </cfRule>
    <cfRule type="expression" dxfId="194" priority="6">
      <formula>$I$84=template_label_value_inconsistency</formula>
    </cfRule>
  </conditionalFormatting>
  <conditionalFormatting sqref="I90">
    <cfRule type="expression" dxfId="193" priority="32">
      <formula>$I$90=template_label_missing_value</formula>
    </cfRule>
    <cfRule type="expression" dxfId="192" priority="31">
      <formula>$I$90=template_label_ok</formula>
    </cfRule>
  </conditionalFormatting>
  <conditionalFormatting sqref="I91">
    <cfRule type="expression" dxfId="191" priority="27">
      <formula>$I$91=template_label_ok</formula>
    </cfRule>
    <cfRule type="expression" dxfId="190" priority="26">
      <formula>$I$91=template_label_missing_value</formula>
    </cfRule>
  </conditionalFormatting>
  <conditionalFormatting sqref="I94">
    <cfRule type="expression" dxfId="189" priority="15">
      <formula>$I$94=template_label_missing_value</formula>
    </cfRule>
    <cfRule type="expression" dxfId="188" priority="14">
      <formula>$I$94=template_label_ok</formula>
    </cfRule>
  </conditionalFormatting>
  <conditionalFormatting sqref="I96:I100">
    <cfRule type="expression" dxfId="187" priority="13">
      <formula>$I$96=template_label_missing_value</formula>
    </cfRule>
    <cfRule type="expression" dxfId="186" priority="12">
      <formula>$I$96=template_label_ok</formula>
    </cfRule>
    <cfRule type="expression" dxfId="185" priority="5">
      <formula>$I$96=template_label_value_inconsistency</formula>
    </cfRule>
  </conditionalFormatting>
  <conditionalFormatting sqref="I101">
    <cfRule type="expression" dxfId="184" priority="21">
      <formula>$I$101=template_label_missing_value</formula>
    </cfRule>
    <cfRule type="expression" dxfId="183" priority="20">
      <formula>$I$101=template_label_ok</formula>
    </cfRule>
  </conditionalFormatting>
  <conditionalFormatting sqref="I102">
    <cfRule type="expression" dxfId="182" priority="8">
      <formula>$I$102=template_label_ok</formula>
    </cfRule>
  </conditionalFormatting>
  <conditionalFormatting sqref="I103">
    <cfRule type="expression" dxfId="181" priority="11">
      <formula>$I$103=template_label_ok</formula>
    </cfRule>
    <cfRule type="expression" dxfId="180" priority="10">
      <formula>$I$103=template_label_missing_value</formula>
    </cfRule>
  </conditionalFormatting>
  <conditionalFormatting sqref="I104">
    <cfRule type="expression" dxfId="179" priority="19">
      <formula>$I$104=template_label_ok</formula>
    </cfRule>
    <cfRule type="expression" dxfId="178" priority="18">
      <formula>$I$104=template_label_missing_value</formula>
    </cfRule>
  </conditionalFormatting>
  <conditionalFormatting sqref="I110">
    <cfRule type="expression" dxfId="177" priority="7">
      <formula>$I$110=template_label_ok</formula>
    </cfRule>
  </conditionalFormatting>
  <dataValidations count="27">
    <dataValidation type="custom" operator="lessThanOrEqual" allowBlank="1" showInputMessage="1" showErrorMessage="1" sqref="D10:G10" xr:uid="{35658C98-934E-415B-A434-B434D683088B}">
      <formula1>IF(D12="-", 0, D12) &gt;= D10</formula1>
    </dataValidation>
    <dataValidation type="custom" operator="equal" showInputMessage="1" showErrorMessage="1" sqref="D20:G20" xr:uid="{A3BF85D0-B645-44C7-9AAE-36905F433620}">
      <formula1>IF(D22="-", 0, D22)&gt;=D18+D19+D20+D21</formula1>
    </dataValidation>
    <dataValidation type="custom" operator="equal" showInputMessage="1" showErrorMessage="1" sqref="D19:G19" xr:uid="{3CAA3C5B-559A-4C0E-8917-0F00C2AD1CB3}">
      <formula1>IF(D22="-", 0, D22)&gt;=D18+D19+D20+D21</formula1>
    </dataValidation>
    <dataValidation type="custom" operator="equal" showInputMessage="1" showErrorMessage="1" sqref="D18:G18" xr:uid="{A31EB366-51D1-4BF8-95AC-80324D98867B}">
      <formula1>IF(D22="-", 0, D22)&gt;=D18+D19+D20+D21</formula1>
    </dataValidation>
    <dataValidation type="custom" operator="equal" showInputMessage="1" showErrorMessage="1" sqref="D21:G21" xr:uid="{29622C59-4C2C-42D1-9E9B-9098E92DCA5F}">
      <formula1>IF(D22="-", 0, D22)&gt;=D18+D19+D20+D21</formula1>
    </dataValidation>
    <dataValidation type="list" allowBlank="1" showInputMessage="1" showErrorMessage="1" sqref="C29:D38" xr:uid="{77A05568-1938-495E-A7AE-13F91BB270A6}">
      <formula1>enum_ListCountriesName</formula1>
    </dataValidation>
    <dataValidation type="custom" showInputMessage="1" showErrorMessage="1" sqref="D47:H47" xr:uid="{8D613685-8D1E-43D4-AC71-87FA8AFC831D}">
      <formula1>IF(AND(D44&lt;&gt;"",D45&lt;&gt;"",D46&lt;&gt;""),(D44/((D45+D46)/2)),"-")</formula1>
    </dataValidation>
    <dataValidation allowBlank="1" showInputMessage="1" showErrorMessage="1" promptTitle="Employee turnover rate [%]" prompt="(number of employees who left during the reporting year / average number of employees during the reporting year) * 100" sqref="C47" xr:uid="{6ED70BED-86B1-422F-9E9B-9F7D61067DE6}"/>
    <dataValidation type="decimal" operator="equal" allowBlank="1" showInputMessage="1" showErrorMessage="1" sqref="D75:H76 D78:H79 D58:H59 D67:H70 D44:H45 D50:H54" xr:uid="{96DCFD83-4BF7-4FD7-8FD2-05151BCCE1A5}">
      <formula1>D44</formula1>
    </dataValidation>
    <dataValidation allowBlank="1" showInputMessage="1" showErrorMessage="1" promptTitle="Rate of work-related accidents" prompt="(number of recordable work-related accidents in the reporting year / total number of hours worked in a year by all employees) * 200000" sqref="C53" xr:uid="{90514CF9-CB78-474C-A511-81130F02799D}"/>
    <dataValidation allowBlank="1" showInputMessage="1" showErrorMessage="1" promptTitle="Rate of covered employees [%]" prompt="(number of employees covered by collective bargaining agreements / total number of employees) * 100" sqref="C62" xr:uid="{0F9FDC34-899C-46D5-9245-B8BD1E753023}"/>
    <dataValidation allowBlank="1" showInputMessage="1" showErrorMessage="1" promptTitle="Percentage gap in pay  [%]" prompt="((average gross hourly pay level of male employees - average gross hourly pay level of female employees) / average gross hourly pay level of male employeees) * 100" sqref="C60" xr:uid="{82989DE3-E357-4B62-A2B7-CCFD3962265A}"/>
    <dataValidation type="list" allowBlank="1" showInputMessage="1" showErrorMessage="1" sqref="D57:H57 D82:H82 D91:H91 D103:H103 D94:H94" xr:uid="{32EA9B96-1307-4142-ABAB-2409115C8A3B}">
      <formula1>enum_ListYesNo</formula1>
    </dataValidation>
    <dataValidation allowBlank="1" showInputMessage="1" showErrorMessage="1" promptTitle="Management female-to-male ratio" prompt="number of female employees at management level / number of male employees at management level" sqref="C77" xr:uid="{A2AA09AE-1878-4581-AA5D-3AF1168BB2AA}"/>
    <dataValidation type="custom" showInputMessage="1" showErrorMessage="1" sqref="D77:H77" xr:uid="{842AA799-C112-4EB7-9AD5-5A7FDB0661AC}">
      <formula1>IF(AND(D75&lt;&gt;"",D76&lt;&gt;""),$D$76/$D$75,"-")</formula1>
    </dataValidation>
    <dataValidation type="custom" showInputMessage="1" showErrorMessage="1" sqref="D84:H84 D88:H89 D96:H99 E27 I27" xr:uid="{75B12E3F-FC71-4F17-B75C-BB63238BEA20}">
      <formula1>OR(D27=TRUE,D27=FALSE)</formula1>
    </dataValidation>
    <dataValidation type="custom" showInputMessage="1" showErrorMessage="1" sqref="D85:H87 D100:H100" xr:uid="{280CCE74-41E2-4CF5-B0C7-E745BDD2E546}">
      <formula1>OR(D85=FALSE,D85=TRUE)</formula1>
    </dataValidation>
    <dataValidation type="custom" showInputMessage="1" showErrorMessage="1" sqref="E29:H29" xr:uid="{CC4923C5-FB49-478B-8A24-5BB3971285F4}">
      <formula1>IF(E39="-", 0, E39)&gt;=E29+E30+E31+E32+E33+E34+E35+E36+E37+E38</formula1>
    </dataValidation>
    <dataValidation type="custom" showInputMessage="1" showErrorMessage="1" sqref="E30:H30" xr:uid="{1888FA88-A3B7-4B17-8342-81C82ACDA739}">
      <formula1>IF(E39="-", 0, E39)&gt;=E29+E30+E31+E32+E33+E34+E35+E36+E37+E38</formula1>
    </dataValidation>
    <dataValidation type="custom" showInputMessage="1" showErrorMessage="1" sqref="E31:H31" xr:uid="{3FA4ED83-4318-412D-BE84-B75A2C8B149F}">
      <formula1>IF(E39="-", 0, E39)&gt;=E29+E30+E31+E32+E33+E34+E35+E36+E37+E38</formula1>
    </dataValidation>
    <dataValidation type="custom" showInputMessage="1" showErrorMessage="1" sqref="E32:H32" xr:uid="{1D28F474-25EE-453B-AE9C-BA8D81C2E4AA}">
      <formula1>IF(E39="-", 0, E39)&gt;=E29+E30+E31+E32+E33+E34+E35+E36+E37+E38</formula1>
    </dataValidation>
    <dataValidation type="custom" showInputMessage="1" showErrorMessage="1" sqref="E33:H33" xr:uid="{04D38E36-608E-45D5-8EEE-CFFED0909AD6}">
      <formula1>IF(E39="-", 0, E39)&gt;=E29+E30+E31+E32+E33+E34+E35+E36+E37+E38</formula1>
    </dataValidation>
    <dataValidation type="custom" showInputMessage="1" showErrorMessage="1" sqref="E34:H34" xr:uid="{62EE6006-68AE-48E9-AE72-2CD789845BBE}">
      <formula1>IF(E39="-", 0, E39)&gt;=E29+E30+E31+E32+E33+E34+E35+E36+E37+E38</formula1>
    </dataValidation>
    <dataValidation type="custom" showInputMessage="1" showErrorMessage="1" sqref="E35:H35" xr:uid="{C1663CAE-DCC5-488B-93E6-756CDF74876A}">
      <formula1>IF(E39="-", 0, E39)&gt;=E29+E30+E31+E32+E33+E34+E35+E36+E37+E38</formula1>
    </dataValidation>
    <dataValidation type="custom" showInputMessage="1" showErrorMessage="1" sqref="E36:H36" xr:uid="{671E5168-3A7C-40FA-BF3B-1E5C4B3C3279}">
      <formula1>IF(E39="-", 0, E39)&gt;=E29+E30+E31+E32+E33+E34+E35+E36+E37+E38</formula1>
    </dataValidation>
    <dataValidation type="custom" showInputMessage="1" showErrorMessage="1" sqref="E37:H37" xr:uid="{DB034702-4EFF-40B8-BDF2-598997D36609}">
      <formula1>IF(E39="-", 0, E39)&gt;=E29+E30+E31+E32+E33+E34+E35+E36+E37+E38</formula1>
    </dataValidation>
    <dataValidation type="custom" showInputMessage="1" showErrorMessage="1" sqref="E38:H38" xr:uid="{50355345-210E-4FA6-AEDD-3AD5E3603619}">
      <formula1>IF(E39="-", 0, E39)&gt;=E29+E30+E31+E32+E33+E34+E35+E36+E37+E38</formula1>
    </dataValidation>
  </dataValidations>
  <hyperlinks>
    <hyperlink ref="C7" r:id="rId1" location="id-89" xr:uid="{715FCF17-2CDA-45C0-AD69-D374E2424764}"/>
    <hyperlink ref="C8" r:id="rId2" location="id-355" display="175-182" xr:uid="{E70410AE-E73F-4568-AF31-581E7B412326}"/>
    <hyperlink ref="C15" r:id="rId3" location="id-90" xr:uid="{D13E5315-32E5-47A5-8C59-56679AD414C5}"/>
    <hyperlink ref="C16" r:id="rId4" location="id-355" display="175-182" xr:uid="{31DF6FD3-0C4C-40A0-B0F3-952DBAB2C719}"/>
    <hyperlink ref="C26" r:id="rId5" location="id-355" display="175-182" xr:uid="{72A4734A-6FA5-4693-A1A4-0571AD5D6BFC}"/>
    <hyperlink ref="C25" r:id="rId6" location="id-91" display="https://xbrl.efrag.org/e-esrs/2024-12-17-efrag-vsme.xhtml - id-91" xr:uid="{E4FF1FD8-D0A9-4664-94B5-903B3C7DE34E}"/>
    <hyperlink ref="C42" r:id="rId7" location="id-92" display="https://xbrl.efrag.org/e-esrs/2024-12-17-efrag-vsme.xhtml - id-92" xr:uid="{E0BA9FB5-FB8C-4FEF-868E-6CF4D588E023}"/>
    <hyperlink ref="C43" r:id="rId8" location="id-363" display="https://xbrl.efrag.org/e-esrs/2024-12-17-efrag-vsme.xhtml - id-363" xr:uid="{50B0BE03-C08E-4851-AC9B-993066443FF0}"/>
    <hyperlink ref="A50" r:id="rId9" xr:uid="{F2DE8AE6-7F6A-4C11-8C35-BFD6848C265A}"/>
    <hyperlink ref="B50" r:id="rId10" xr:uid="{A80B1F84-0594-4287-A96E-9DCAA77A7036}"/>
    <hyperlink ref="A57" r:id="rId11" xr:uid="{A04769E2-92AB-4FA7-8BAA-94C789C5D2BC}"/>
    <hyperlink ref="A61" r:id="rId12" location="id-99" xr:uid="{8113121E-C750-4B02-9F44-43C4B57E348C}"/>
    <hyperlink ref="B57" r:id="rId13" xr:uid="{D1428CBA-D262-46DD-A656-23D4C88B3472}"/>
    <hyperlink ref="B61" r:id="rId14" location="id-386" display="202-205" xr:uid="{9AEDE24B-6E51-44E4-9816-FE8C0C8508A3}"/>
    <hyperlink ref="B58" r:id="rId15" xr:uid="{525973BD-5FC4-4E6E-BA87-B737CF59306E}"/>
    <hyperlink ref="C65" r:id="rId16" location="id-100" xr:uid="{A4FCCF43-CF5C-4938-A588-DC9CBECE7EC2}"/>
    <hyperlink ref="A75" r:id="rId17" display="https://xbrl.efrag.org/eng/interactive/vsme/vsme-standard-annex-i/2025-07-30-ec-rec/59" xr:uid="{D6C382FC-BB6A-4070-83F7-5D8F1C237A22}"/>
    <hyperlink ref="A78" r:id="rId18" display="https://xbrl.efrag.org/eng/interactive/vsme/vsme-standard-annex-i/2025-07-30-ec-rec/60" xr:uid="{B621BBEE-281B-42F5-B2D2-56DD7AA5EEA0}"/>
    <hyperlink ref="B75" r:id="rId19" xr:uid="{F0350405-76E9-49D1-BCA5-1A0EFEA12C04}"/>
    <hyperlink ref="B78" r:id="rId20" xr:uid="{7E6AA21F-CB64-4BA3-B45A-0E902CCAE552}"/>
    <hyperlink ref="A82" r:id="rId21" xr:uid="{B9DD33F4-2ACF-4676-8833-08E77CB7D0CA}"/>
    <hyperlink ref="A83" r:id="rId22" xr:uid="{88C6CF49-313A-4434-8D2A-0AEA3359D7FC}"/>
    <hyperlink ref="A91" r:id="rId23" xr:uid="{752B393B-0928-4C69-AFB2-C68F07D89E0E}"/>
    <hyperlink ref="B82" r:id="rId24" display="https://xbrl.efrag.org/eng/interactive/vsme/vsme-guidance-annex-ii/2025-07-30-ec-rec/173" xr:uid="{5DC38D20-F9F3-45CD-A4F1-CCBAA158E822}"/>
    <hyperlink ref="A103" r:id="rId25" xr:uid="{9B3F1639-CEDF-4FD6-829F-0D9EE195C206}"/>
    <hyperlink ref="B94" r:id="rId26" display="https://xbrl.efrag.org/eng/interactive/vsme/vsme-guidance-annex-ii/2025-07-30-ec-rec/174" xr:uid="{E39563BA-8B8E-41CC-8A15-041A714F2283}"/>
    <hyperlink ref="A95" r:id="rId27" xr:uid="{4767E427-EBDB-4F68-ADD4-2E28DAE9623F}"/>
    <hyperlink ref="A94" r:id="rId28" display="https://xbrl.efrag.org/eng/interactive/vsme/vsme-standard-annex-i/2025-07-30-ec-rec/62" xr:uid="{EAFDF65A-AB84-4580-B43C-874BE882196C}"/>
    <hyperlink ref="A102" r:id="rId29" xr:uid="{C3F1A085-4C97-49E3-804F-2C1886C3712A}"/>
    <hyperlink ref="C109" r:id="rId30" location="id-30" display="https://xbrl.efrag.org/e-esrs/2024-12-17-efrag-vsme.xhtml - id-30" xr:uid="{1D37EE3E-D845-46B8-B826-670052F1EFFD}"/>
    <hyperlink ref="C7:G7" r:id="rId31" display="39(a)" xr:uid="{045591BB-7AC1-41F4-A12A-E4B96445A4B3}"/>
    <hyperlink ref="C15:G15" r:id="rId32" display="39(b)" xr:uid="{986DCC5F-5EA6-4790-891E-BF08D9242936}"/>
    <hyperlink ref="C25:H25" r:id="rId33" display="39(c)" xr:uid="{A10A1811-7417-4B9B-9FCD-934E622BE66F}"/>
    <hyperlink ref="C42:H42" r:id="rId34" display="https://xbrl.efrag.org/eng/interactive/vsme/vsme-standard-annex-i/2025-07-30-ec-rec/40" xr:uid="{622C6F62-9464-4894-9594-12DFC4557303}"/>
    <hyperlink ref="A54" r:id="rId35" xr:uid="{4BE08046-72E6-47D5-888C-BE3727409AE4}"/>
    <hyperlink ref="A58" r:id="rId36" xr:uid="{391833E0-BB4C-41C7-BBD3-C91728FD7649}"/>
    <hyperlink ref="A61:A62" r:id="rId37" display="42(c)" xr:uid="{C36D9540-4B6D-48B0-B22B-34A4FFE44E35}"/>
    <hyperlink ref="C65:H65" r:id="rId38" display="42(d)" xr:uid="{985AC647-33FB-4A71-93C7-5C325CA24011}"/>
    <hyperlink ref="A79" r:id="rId39" display="https://xbrl.efrag.org/eng/interactive/vsme/vsme-standard-annex-i/2025-07-30-ec-rec/60" xr:uid="{37FFA10E-6558-4258-A996-A7A13B24BC45}"/>
    <hyperlink ref="A104" r:id="rId40" xr:uid="{AE0089D3-808C-4790-9566-1F08F8F69A4D}"/>
    <hyperlink ref="C109:H109" r:id="rId41" display="https://xbrl.efrag.org/eng/interactive/vsme/vsme-standard-annex-i/2025-07-30-ec-rec/10" xr:uid="{FE90F4B0-5C1A-422D-9546-1262BD637327}"/>
    <hyperlink ref="C8:G8" r:id="rId42" display="110-117" xr:uid="{3C1E3943-B9F8-4356-BB7D-2E5B4A68C465}"/>
    <hyperlink ref="C16:G16" r:id="rId43" display="110-117" xr:uid="{F6A906E9-B721-4F64-982A-95F1DD0FF27C}"/>
    <hyperlink ref="C26:H26" r:id="rId44" display="110-117" xr:uid="{F28AE070-7A73-477E-8DD0-D267A377C199}"/>
    <hyperlink ref="C43:H43" r:id="rId45" display="https://xbrl.efrag.org/eng/interactive/vsme/vsme-guidance-annex-ii/2025-07-30-ec-rec/118" xr:uid="{9B3C672C-2D5B-4AC8-9FDE-5863B03C6A02}"/>
    <hyperlink ref="B61:B62" r:id="rId46" display="137-140" xr:uid="{4184C8F5-A5CA-456F-BDD4-7E346D6CCC84}"/>
    <hyperlink ref="A51" r:id="rId47" xr:uid="{0025172A-8FCF-4FE5-B3C1-C88E6B3908A4}"/>
    <hyperlink ref="A52" r:id="rId48" xr:uid="{DEEA807F-A6D7-4856-BB88-4C45205AC4BA}"/>
    <hyperlink ref="A53" r:id="rId49" xr:uid="{4A217A22-46F6-4593-AD74-30E1B42C71F7}"/>
    <hyperlink ref="A59" r:id="rId50" xr:uid="{6A5E69FA-D2CE-4BD9-9F85-5A40CDFC2E87}"/>
    <hyperlink ref="A60" r:id="rId51" xr:uid="{85BC8A83-71E2-476B-B296-E7A368C12D6C}"/>
    <hyperlink ref="A76" r:id="rId52" display="https://xbrl.efrag.org/eng/interactive/vsme/vsme-standard-annex-i/2025-07-30-ec-rec/59" xr:uid="{B6352C9C-6ADA-4E23-90B8-5672D2623859}"/>
    <hyperlink ref="A77" r:id="rId53" display="https://xbrl.efrag.org/eng/interactive/vsme/vsme-standard-annex-i/2025-07-30-ec-rec/59" xr:uid="{2CE1D049-2FF7-4C14-8247-582CA2E7AADB}"/>
    <hyperlink ref="A84" r:id="rId54" xr:uid="{A01648FD-4531-4ADA-BC8A-D0BFD47BE31A}"/>
    <hyperlink ref="A85" r:id="rId55" xr:uid="{E695DDCD-8153-4195-B88B-FBF08412A5B0}"/>
    <hyperlink ref="A86" r:id="rId56" xr:uid="{C2A519AC-6FD2-4147-A05B-E0D9804C45D0}"/>
    <hyperlink ref="A87" r:id="rId57" xr:uid="{D269E440-5783-4049-8DA6-691D04D50C55}"/>
    <hyperlink ref="A88" r:id="rId58" xr:uid="{3636C888-0684-413B-B650-52AB80239273}"/>
    <hyperlink ref="A89" r:id="rId59" xr:uid="{9E82C054-8192-4AFE-8D00-45E9DBEDE98A}"/>
    <hyperlink ref="A90" r:id="rId60" xr:uid="{D2E67599-055A-4305-8D9E-CCC62B31E83C}"/>
    <hyperlink ref="A96" r:id="rId61" xr:uid="{42389616-D7DC-4967-8217-BA7DF3BF2677}"/>
    <hyperlink ref="A97" r:id="rId62" xr:uid="{FD787500-F418-4140-9673-E586F1C1FE87}"/>
    <hyperlink ref="A98" r:id="rId63" xr:uid="{101B247B-F782-48A2-B8C8-3A1DF15C08A7}"/>
    <hyperlink ref="A99" r:id="rId64" xr:uid="{CF1F45B8-9AD9-4586-9AF7-E6829297B0E7}"/>
    <hyperlink ref="A100" r:id="rId65" xr:uid="{158639B2-36A1-4A09-AAD2-C5B9508ACA3C}"/>
    <hyperlink ref="A101" r:id="rId66" xr:uid="{E1826D17-99A9-476E-8EB3-7421B92D132F}"/>
    <hyperlink ref="B54" r:id="rId67" xr:uid="{6531E4F5-A8E4-4C65-9524-B86416E7C98C}"/>
    <hyperlink ref="B83" r:id="rId68" display="https://xbrl.efrag.org/eng/interactive/vsme/vsme-guidance-annex-ii/2025-07-30-ec-rec/173" xr:uid="{CD1F773C-4DBC-4FE3-9F8B-EC998D968458}"/>
    <hyperlink ref="B84" r:id="rId69" display="https://xbrl.efrag.org/eng/interactive/vsme/vsme-guidance-annex-ii/2025-07-30-ec-rec/173" xr:uid="{4FEE3EA4-2284-4F07-9B36-2AEE980DF91A}"/>
    <hyperlink ref="B85" r:id="rId70" display="https://xbrl.efrag.org/eng/interactive/vsme/vsme-guidance-annex-ii/2025-07-30-ec-rec/173" xr:uid="{8239416B-CF1E-469D-AA10-1800167E3309}"/>
    <hyperlink ref="B86" r:id="rId71" display="https://xbrl.efrag.org/eng/interactive/vsme/vsme-guidance-annex-ii/2025-07-30-ec-rec/173" xr:uid="{2D45C5BA-97D7-47AA-AA14-72AFE5593D6D}"/>
    <hyperlink ref="B87" r:id="rId72" display="https://xbrl.efrag.org/eng/interactive/vsme/vsme-guidance-annex-ii/2025-07-30-ec-rec/173" xr:uid="{9B15DD8E-2981-4D03-905C-180F87E33E35}"/>
    <hyperlink ref="B88" r:id="rId73" display="https://xbrl.efrag.org/eng/interactive/vsme/vsme-guidance-annex-ii/2025-07-30-ec-rec/173" xr:uid="{8218DE42-1C86-481F-A6AF-1E75450D64FE}"/>
    <hyperlink ref="B89" r:id="rId74" display="https://xbrl.efrag.org/eng/interactive/vsme/vsme-guidance-annex-ii/2025-07-30-ec-rec/173" xr:uid="{9692D913-23F9-4B05-9B66-CE5A503AB1C4}"/>
    <hyperlink ref="B90" r:id="rId75" display="https://xbrl.efrag.org/eng/interactive/vsme/vsme-guidance-annex-ii/2025-07-30-ec-rec/173" xr:uid="{A25FA8FB-F895-497B-A810-794BEE155C88}"/>
    <hyperlink ref="B91" r:id="rId76" display="https://xbrl.efrag.org/eng/interactive/vsme/vsme-guidance-annex-ii/2025-07-30-ec-rec/173" xr:uid="{A1745671-C85A-4B5E-87F6-C0A8FB70740A}"/>
    <hyperlink ref="B95" r:id="rId77" display="https://xbrl.efrag.org/eng/interactive/vsme/vsme-guidance-annex-ii/2025-07-30-ec-rec/174" xr:uid="{FDF17B2D-0176-4706-B411-4F54D97C1CA8}"/>
    <hyperlink ref="B96" r:id="rId78" display="https://xbrl.efrag.org/eng/interactive/vsme/vsme-guidance-annex-ii/2025-07-30-ec-rec/174" xr:uid="{2C16E34B-1B18-4252-805B-637FBAE2CEDF}"/>
    <hyperlink ref="B97" r:id="rId79" display="https://xbrl.efrag.org/eng/interactive/vsme/vsme-guidance-annex-ii/2025-07-30-ec-rec/174" xr:uid="{3332D126-0D3A-487D-8EA3-F1F86FABDCC2}"/>
    <hyperlink ref="B98" r:id="rId80" display="https://xbrl.efrag.org/eng/interactive/vsme/vsme-guidance-annex-ii/2025-07-30-ec-rec/174" xr:uid="{F925DB5F-028A-4910-A85A-739E8E35F229}"/>
    <hyperlink ref="B99" r:id="rId81" display="https://xbrl.efrag.org/eng/interactive/vsme/vsme-guidance-annex-ii/2025-07-30-ec-rec/174" xr:uid="{7E2C1FA0-BF74-4E9C-9226-D9EA1B346D7C}"/>
    <hyperlink ref="B100" r:id="rId82" display="https://xbrl.efrag.org/eng/interactive/vsme/vsme-guidance-annex-ii/2025-07-30-ec-rec/174" xr:uid="{A4A94B65-7800-4536-AA15-3E3817B90BFB}"/>
    <hyperlink ref="B101" r:id="rId83" display="https://xbrl.efrag.org/eng/interactive/vsme/vsme-guidance-annex-ii/2025-07-30-ec-rec/174" xr:uid="{429E65FF-4151-47CA-9440-AD55907CC30E}"/>
    <hyperlink ref="B102" r:id="rId84" display="https://xbrl.efrag.org/eng/interactive/vsme/vsme-guidance-annex-ii/2025-07-30-ec-rec/174" xr:uid="{4E9248DE-3C7F-487D-885D-AC5F2BDFA45D}"/>
    <hyperlink ref="B103" r:id="rId85" display="https://xbrl.efrag.org/eng/interactive/vsme/vsme-guidance-annex-ii/2025-07-30-ec-rec/174" xr:uid="{2908366A-15C9-4C2F-BA5E-D048D6FFDF7A}"/>
    <hyperlink ref="B104" r:id="rId86" display="https://xbrl.efrag.org/eng/interactive/vsme/vsme-guidance-annex-ii/2025-07-30-ec-rec/174" xr:uid="{776DE015-4DF2-44E3-A7D9-CD366BB7D918}"/>
    <hyperlink ref="B51" r:id="rId87" xr:uid="{10325A92-4534-41F4-933D-08B26E504FC3}"/>
    <hyperlink ref="B52" r:id="rId88" xr:uid="{1A6F7006-BBE9-410C-B55B-75B449A59A0F}"/>
    <hyperlink ref="B53" r:id="rId89" xr:uid="{5DCC0FB2-6BC5-4CB6-AA33-4B56399A70A7}"/>
    <hyperlink ref="B59" r:id="rId90" xr:uid="{985191A6-08B6-463A-9892-9508669475E1}"/>
    <hyperlink ref="B60" r:id="rId91" xr:uid="{C22D5BD3-0F51-4FC4-9ED3-3C6207CA94E5}"/>
    <hyperlink ref="B79" r:id="rId92" xr:uid="{4E2EB394-1514-475F-A549-6B5ADC5A7ED2}"/>
    <hyperlink ref="B76" r:id="rId93" xr:uid="{D278DC32-8277-4A39-B148-40BD4ACC5845}"/>
    <hyperlink ref="B77" r:id="rId94" xr:uid="{1ED1619E-8E9E-4675-BD93-DB3B39EBEDF8}"/>
  </hyperlinks>
  <pageMargins left="0.7" right="0.7" top="0.75" bottom="0.75" header="0.3" footer="0.3"/>
  <drawing r:id="rId95"/>
  <extLst>
    <ext xmlns:x14="http://schemas.microsoft.com/office/spreadsheetml/2009/9/main" uri="{78C0D931-6437-407d-A8EE-F0AAD7539E65}">
      <x14:conditionalFormattings>
        <x14:conditionalFormatting xmlns:xm="http://schemas.microsoft.com/office/excel/2006/main">
          <x14:cfRule type="expression" priority="56" id="{C1AD0EBF-9256-40D4-AB7C-630EAFD99990}">
            <xm:f>'General Information'!$E$62&gt;50</xm:f>
            <x14:dxf>
              <fill>
                <patternFill patternType="solid">
                  <bgColor rgb="FFFFFF99"/>
                </patternFill>
              </fill>
            </x14:dxf>
          </x14:cfRule>
          <xm:sqref>C44:H46</xm:sqref>
        </x14:conditionalFormatting>
        <x14:conditionalFormatting xmlns:xm="http://schemas.microsoft.com/office/excel/2006/main">
          <x14:cfRule type="expression" priority="43" id="{41BDF252-99BC-47B0-A14B-5396CCC7A6C9}">
            <xm:f>'General Information'!$E$62&gt;150</xm:f>
            <x14:dxf>
              <fill>
                <patternFill patternType="solid">
                  <bgColor rgb="FFFFFF99"/>
                </patternFill>
              </fill>
            </x14:dxf>
          </x14:cfRule>
          <xm:sqref>C58:H59</xm:sqref>
        </x14:conditionalFormatting>
        <x14:conditionalFormatting xmlns:xm="http://schemas.microsoft.com/office/excel/2006/main">
          <x14:cfRule type="expression" priority="36" id="{0A250C4B-DD07-4841-AABD-2DCC525B6367}">
            <xm:f>'General Information'!$E$62&gt;50</xm:f>
            <x14:dxf>
              <fill>
                <patternFill patternType="solid">
                  <bgColor rgb="FFFFFF99"/>
                </patternFill>
              </fill>
            </x14:dxf>
          </x14:cfRule>
          <xm:sqref>C75:H76</xm:sqref>
        </x14:conditionalFormatting>
        <x14:conditionalFormatting xmlns:xm="http://schemas.microsoft.com/office/excel/2006/main">
          <x14:cfRule type="expression" priority="35" id="{69F3CDF1-C506-4C12-A20E-FE804D24A482}">
            <xm:f>'General Information'!$E$62&gt;50</xm:f>
            <x14:dxf>
              <fill>
                <patternFill patternType="none">
                  <bgColor auto="1"/>
                </patternFill>
              </fill>
            </x14:dxf>
          </x14:cfRule>
          <xm:sqref>D78:H79</xm:sqref>
        </x14:conditionalFormatting>
        <x14:conditionalFormatting xmlns:xm="http://schemas.microsoft.com/office/excel/2006/main">
          <x14:cfRule type="expression" priority="34" id="{9B10E77F-7102-491B-A9C8-C6F978FDB272}">
            <xm:f>'General Information'!$E$32="Option A (Basic Module only)"</xm:f>
            <x14:dxf>
              <fill>
                <patternFill>
                  <bgColor theme="0" tint="-0.14996795556505021"/>
                </patternFill>
              </fill>
            </x14:dxf>
          </x14:cfRule>
          <xm:sqref>D84:H89</xm:sqref>
        </x14:conditionalFormatting>
        <x14:conditionalFormatting xmlns:xm="http://schemas.microsoft.com/office/excel/2006/main">
          <x14:cfRule type="expression" priority="23" id="{04A7DFC3-A5B9-44F5-A88C-400BD569DEEE}">
            <xm:f>'General Information'!$E$32="Option A (Basic Module only)"</xm:f>
            <x14:dxf>
              <fill>
                <patternFill>
                  <bgColor theme="0" tint="-0.14996795556505021"/>
                </patternFill>
              </fill>
            </x14:dxf>
          </x14:cfRule>
          <xm:sqref>D96:H100</xm:sqref>
        </x14:conditionalFormatting>
        <x14:conditionalFormatting xmlns:xm="http://schemas.microsoft.com/office/excel/2006/main">
          <x14:cfRule type="expression" priority="3" id="{7FE6ADB3-3DD3-426C-938E-EB2499260F47}">
            <xm:f>'General Information'!$E$32="Option A (Basic Module only)"</xm:f>
            <x14:dxf>
              <fill>
                <patternFill>
                  <bgColor theme="0" tint="-0.14996795556505021"/>
                </patternFill>
              </fill>
            </x14:dxf>
          </x14:cfRule>
          <xm:sqref>E27</xm:sqref>
        </x14:conditionalFormatting>
      </x14:conditionalFormattings>
    </ext>
    <ext xmlns:x14="http://schemas.microsoft.com/office/spreadsheetml/2009/9/main" uri="{CCE6A557-97BC-4b89-ADB6-D9C93CAAB3DF}">
      <x14:dataValidations xmlns:xm="http://schemas.microsoft.com/office/excel/2006/main" count="3">
        <x14:dataValidation type="custom" showInputMessage="1" showErrorMessage="1" xr:uid="{B40D72B0-33D3-4A87-96E8-AAF81F96529B}">
          <x14:formula1>
            <xm:f>IF('General Information'!$E$64="","-",'General Information'!$E$64)</xm:f>
          </x14:formula1>
          <xm:sqref>F2:H2</xm:sqref>
        </x14:dataValidation>
        <x14:dataValidation type="custom" showInputMessage="1" showErrorMessage="1" xr:uid="{32F728F7-53E1-49E0-A9CF-2F3E85840EB1}">
          <x14:formula1>
            <xm:f>IF('General Information'!$E$62="","-",'General Information'!$E$62)</xm:f>
          </x14:formula1>
          <xm:sqref>D22:G22 E39</xm:sqref>
        </x14:dataValidation>
        <x14:dataValidation type="decimal" operator="lessThanOrEqual" showInputMessage="1" showErrorMessage="1" xr:uid="{4524FD31-9514-4873-ACED-6F067A4868E8}">
          <x14:formula1>
            <xm:f>'General Information'!E62</xm:f>
          </x14:formula1>
          <xm:sqref>D61:H61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49B14-26A1-417D-A9CD-577098931573}">
  <sheetPr codeName="Sheet5"/>
  <dimension ref="A1:BZ218"/>
  <sheetViews>
    <sheetView zoomScaleNormal="100" workbookViewId="0"/>
  </sheetViews>
  <sheetFormatPr defaultColWidth="8.90625" defaultRowHeight="14.5" x14ac:dyDescent="0.35"/>
  <cols>
    <col min="1" max="2" width="10" bestFit="1" customWidth="1"/>
    <col min="3" max="3" width="33.54296875" customWidth="1"/>
    <col min="5" max="5" width="14.453125" customWidth="1"/>
    <col min="7" max="7" width="24.36328125" customWidth="1"/>
    <col min="8" max="8" width="38.453125" customWidth="1"/>
    <col min="9" max="9" width="15.54296875" style="15" customWidth="1"/>
    <col min="10" max="10" width="16.453125" style="10" customWidth="1"/>
    <col min="11" max="17" width="8.54296875" style="10"/>
    <col min="18" max="78" width="8.6328125" style="10"/>
  </cols>
  <sheetData>
    <row r="1" spans="1:9" ht="44" thickBot="1" x14ac:dyDescent="0.4">
      <c r="A1" s="259" t="s">
        <v>3730</v>
      </c>
      <c r="B1" s="259" t="s">
        <v>3729</v>
      </c>
      <c r="C1" s="10"/>
      <c r="D1" s="10"/>
      <c r="E1" s="10"/>
      <c r="F1" s="10"/>
      <c r="G1" s="10"/>
      <c r="H1" s="10"/>
    </row>
    <row r="2" spans="1:9" x14ac:dyDescent="0.35">
      <c r="A2" s="10"/>
      <c r="B2" s="10"/>
      <c r="C2" s="589" t="str">
        <f>template_label_b11_convictions_and_fines_for_corruption_and_bribery&amp;" "&amp;template_label_from&amp;" "&amp;template_starting_date_display&amp;" "&amp;template_label_to&amp;" "&amp;template_ending_date_display&amp;" "&amp;template_label_if_applicable</f>
        <v>B11 – Convictions and fines for corruption and bribery from - to - [If applicable]</v>
      </c>
      <c r="D2" s="590"/>
      <c r="E2" s="590"/>
      <c r="F2" s="590"/>
      <c r="G2" s="590"/>
      <c r="H2" s="591"/>
    </row>
    <row r="3" spans="1:9" x14ac:dyDescent="0.35">
      <c r="A3" s="10"/>
      <c r="B3" s="10"/>
      <c r="C3" s="1089">
        <v>43</v>
      </c>
      <c r="D3" s="1090"/>
      <c r="E3" s="1090"/>
      <c r="F3" s="1090"/>
      <c r="G3" s="1090"/>
      <c r="H3" s="1091"/>
    </row>
    <row r="4" spans="1:9" x14ac:dyDescent="0.35">
      <c r="A4" s="10"/>
      <c r="B4" s="10"/>
      <c r="C4" s="1092" t="s">
        <v>5667</v>
      </c>
      <c r="D4" s="1060"/>
      <c r="E4" s="1060"/>
      <c r="F4" s="1060"/>
      <c r="G4" s="1060"/>
      <c r="H4" s="1093"/>
    </row>
    <row r="5" spans="1:9" s="10" customFormat="1" x14ac:dyDescent="0.35">
      <c r="C5" s="1068" t="str">
        <f>template_label_has_the_undertaking_incurred_in_convictions_and_fines_in_the_reporting_period</f>
        <v>Has the undertaking incurred in convictions and fines in the reporting period?</v>
      </c>
      <c r="D5" s="1069"/>
      <c r="E5" s="1069"/>
      <c r="F5" s="1069"/>
      <c r="G5" s="1069"/>
      <c r="H5" s="169" t="b">
        <v>0</v>
      </c>
      <c r="I5" s="15"/>
    </row>
    <row r="6" spans="1:9" s="10" customFormat="1" ht="21.65" customHeight="1" x14ac:dyDescent="0.35">
      <c r="C6" s="1112" t="str">
        <f>template_label_total_number_of_convictions_for_the_violation_of_anti_corruption_and_anti_bribery_laws</f>
        <v>Total number of convictions  for the violation of anti-corruption and anti-bribery laws</v>
      </c>
      <c r="D6" s="1113"/>
      <c r="E6" s="1113"/>
      <c r="F6" s="1113"/>
      <c r="G6" s="1114"/>
      <c r="H6" s="290"/>
      <c r="I6" s="15" t="str">
        <f>IF(AND($H$5=TRUE,H6&lt;&gt;""), template_label_ok,
IF(AND($H$5=TRUE,H6=""), template_label_missing_value, ""))</f>
        <v/>
      </c>
    </row>
    <row r="7" spans="1:9" s="10" customFormat="1" ht="15" thickBot="1" x14ac:dyDescent="0.4">
      <c r="C7" s="1115" t="str">
        <f>template_label_total_amount_of_fines_for_the_violation_of_anti_corruption_and_anti_bribery_laws &amp; " " &amp; "(" &amp; template_label_amount_in &amp; " " &amp; template_currency &amp; ")"</f>
        <v>Total amount of fines for the violation of anti-corruption and anti-bribery laws (amount in )</v>
      </c>
      <c r="D7" s="1116"/>
      <c r="E7" s="1116"/>
      <c r="F7" s="1116"/>
      <c r="G7" s="1117"/>
      <c r="H7" s="291"/>
      <c r="I7" s="15" t="str">
        <f>IF(AND($H$5=TRUE,H7&lt;&gt;""), template_label_ok,
IF(AND($H$5=TRUE,H7=""), template_label_missing_value, ""))</f>
        <v/>
      </c>
    </row>
    <row r="8" spans="1:9" s="10" customFormat="1" ht="15" thickBot="1" x14ac:dyDescent="0.4">
      <c r="I8" s="15"/>
    </row>
    <row r="9" spans="1:9" s="10" customFormat="1" x14ac:dyDescent="0.35">
      <c r="C9" s="845" t="str">
        <f>template_label_c8_revenues_from_certain_sectors&amp;" "&amp;template_label_from&amp;" "&amp;template_starting_date_display&amp;" "&amp;template_label_to&amp;" "&amp;template_ending_date_display&amp;" "&amp;template_label_if_applicable</f>
        <v>C8 – Revenues from certain activities from - to - [If applicable]</v>
      </c>
      <c r="D9" s="1084"/>
      <c r="E9" s="1084"/>
      <c r="F9" s="1084"/>
      <c r="G9" s="1084"/>
      <c r="H9" s="1085"/>
      <c r="I9" s="15"/>
    </row>
    <row r="10" spans="1:9" ht="28.25" customHeight="1" x14ac:dyDescent="0.35">
      <c r="A10" s="10"/>
      <c r="B10" s="10"/>
      <c r="C10" s="1068" t="str">
        <f>template_label_is_the_undertaking_deriving_revenues_from_one_of_the_activities_listed_below</f>
        <v>Is the undertaking deriving revenues from one of the activities listed below?</v>
      </c>
      <c r="D10" s="1069"/>
      <c r="E10" s="1069"/>
      <c r="F10" s="1069"/>
      <c r="G10" s="1069"/>
      <c r="H10" s="170" t="b">
        <v>0</v>
      </c>
    </row>
    <row r="11" spans="1:9" x14ac:dyDescent="0.35">
      <c r="A11" s="10"/>
      <c r="B11" s="10"/>
      <c r="C11" s="1098"/>
      <c r="D11" s="1099"/>
      <c r="E11" s="1099"/>
      <c r="F11" s="1099"/>
      <c r="G11" s="1099"/>
      <c r="H11" s="53" t="str">
        <f>template_label_monetary_amount_in &amp; " " &amp; template_currency</f>
        <v xml:space="preserve">Monetary amount in </v>
      </c>
    </row>
    <row r="12" spans="1:9" s="10" customFormat="1" ht="32.4" customHeight="1" x14ac:dyDescent="0.35">
      <c r="A12" s="464" t="s">
        <v>3769</v>
      </c>
      <c r="B12" s="467" t="s">
        <v>5669</v>
      </c>
      <c r="C12" s="605" t="str">
        <f>template_label_revenue_derived_from_controversial_weapons</f>
        <v>Revenue derived from controversial weapons (anti-personnel mines cluster munitions chemical weapons and biological weapons)</v>
      </c>
      <c r="D12" s="606"/>
      <c r="E12" s="606"/>
      <c r="F12" s="606"/>
      <c r="G12" s="606"/>
      <c r="H12" s="286"/>
      <c r="I12" s="1072" t="str">
        <f>IF(AND(H10=FALSE,COUNTA(H12:H16)=0, H18=""),
    "",
    IF(AND(OR(COUNTA(H12:H16)&gt;0, H18&lt;&gt;""), SUM(H12:H16, H18)&lt;='General Information'!E61),
        template_label_ok,
        IF(AND(H10=TRUE, COUNTA(H12:H16)=0, H18=""),
            template_label_missing_value,
            template_label_value_inconsistency
        )
    )
)</f>
        <v/>
      </c>
    </row>
    <row r="13" spans="1:9" s="10" customFormat="1" ht="15" thickBot="1" x14ac:dyDescent="0.4">
      <c r="A13" s="464" t="s">
        <v>3770</v>
      </c>
      <c r="B13" s="467" t="s">
        <v>5669</v>
      </c>
      <c r="C13" s="665" t="str">
        <f>template_label_revenue_derived_from_cultivation_and_production_of_tobacco</f>
        <v>Revenue derived from cultivation and production of tobacco</v>
      </c>
      <c r="D13" s="859"/>
      <c r="E13" s="859"/>
      <c r="F13" s="859"/>
      <c r="G13" s="859"/>
      <c r="H13" s="287"/>
      <c r="I13" s="1072"/>
    </row>
    <row r="14" spans="1:9" s="10" customFormat="1" x14ac:dyDescent="0.35">
      <c r="A14" s="475" t="s">
        <v>3771</v>
      </c>
      <c r="B14" s="467" t="s">
        <v>5669</v>
      </c>
      <c r="C14" s="1073" t="str">
        <f>template_label_revenue_derived_from_coal</f>
        <v>Revenue derived from coal</v>
      </c>
      <c r="D14" s="1074"/>
      <c r="E14" s="1074"/>
      <c r="F14" s="1074"/>
      <c r="G14" s="1074"/>
      <c r="H14" s="288"/>
      <c r="I14" s="1072"/>
    </row>
    <row r="15" spans="1:9" s="10" customFormat="1" x14ac:dyDescent="0.35">
      <c r="A15" s="475" t="s">
        <v>3771</v>
      </c>
      <c r="B15" s="467" t="s">
        <v>5669</v>
      </c>
      <c r="C15" s="605" t="str">
        <f>template_label_revenue_derived_from_oil</f>
        <v>Revenue derived from oil</v>
      </c>
      <c r="D15" s="606"/>
      <c r="E15" s="606"/>
      <c r="F15" s="606"/>
      <c r="G15" s="606"/>
      <c r="H15" s="286"/>
      <c r="I15" s="1072"/>
    </row>
    <row r="16" spans="1:9" s="10" customFormat="1" x14ac:dyDescent="0.35">
      <c r="A16" s="475" t="s">
        <v>3771</v>
      </c>
      <c r="B16" s="467" t="s">
        <v>5669</v>
      </c>
      <c r="C16" s="605" t="str">
        <f>template_label_revenue_derived_from_gas</f>
        <v>Revenue derived from gas</v>
      </c>
      <c r="D16" s="606"/>
      <c r="E16" s="606"/>
      <c r="F16" s="606"/>
      <c r="G16" s="606"/>
      <c r="H16" s="286"/>
      <c r="I16" s="1072"/>
    </row>
    <row r="17" spans="1:9" s="10" customFormat="1" ht="60.65" customHeight="1" thickBot="1" x14ac:dyDescent="0.4">
      <c r="A17" s="475" t="s">
        <v>3771</v>
      </c>
      <c r="B17" s="467" t="s">
        <v>5669</v>
      </c>
      <c r="C17" s="1070" t="str">
        <f>template_label_total_revenues_derived_from_fossil_fuel_sector</f>
        <v>Total revenues derived from fossil fuel (coal oil and gas) sector (i.e. the undertaking derives revenues from exploration mining extraction production processing storage refining or distribution including transportation storage and trade of fossil fuels as defined in Article 2 point (62) of Regulation (EU) 2018 1999 of the European Parliament and the Council)</v>
      </c>
      <c r="D17" s="1071"/>
      <c r="E17" s="1071"/>
      <c r="F17" s="1071"/>
      <c r="G17" s="1071"/>
      <c r="H17" s="282" t="str">
        <f>IF(COUNTA(H14:H16)=0, "-", SUM(H14:H16))</f>
        <v>-</v>
      </c>
      <c r="I17" s="1072"/>
    </row>
    <row r="18" spans="1:9" s="10" customFormat="1" ht="15" thickBot="1" x14ac:dyDescent="0.4">
      <c r="A18" s="464" t="s">
        <v>3772</v>
      </c>
      <c r="B18" s="467" t="s">
        <v>5669</v>
      </c>
      <c r="C18" s="667" t="str">
        <f>template_label_revenue_derived_from_chemicals_production</f>
        <v>Revenue derived from chemicals production</v>
      </c>
      <c r="D18" s="1097"/>
      <c r="E18" s="1097"/>
      <c r="F18" s="1097"/>
      <c r="G18" s="1097"/>
      <c r="H18" s="289"/>
      <c r="I18" s="1072"/>
    </row>
    <row r="19" spans="1:9" s="10" customFormat="1" ht="15" thickBot="1" x14ac:dyDescent="0.4">
      <c r="I19" s="15"/>
    </row>
    <row r="20" spans="1:9" s="10" customFormat="1" x14ac:dyDescent="0.35">
      <c r="C20" s="845" t="str">
        <f>template_label_c8_exclusion_from_eu_reference_benchmarks&amp;" "&amp;template_label_from&amp;" "&amp;template_starting_date_display&amp;" "&amp;template_label_to&amp;" "&amp;template_ending_date_display&amp;" "&amp;template_label_always_to_be_reported</f>
        <v>C8 – Exclusion from EU reference benchmarks from - to - [Always to be reported]</v>
      </c>
      <c r="D20" s="1084"/>
      <c r="E20" s="1084"/>
      <c r="F20" s="1084"/>
      <c r="G20" s="1084"/>
      <c r="H20" s="1085"/>
      <c r="I20" s="15"/>
    </row>
    <row r="21" spans="1:9" s="10" customFormat="1" x14ac:dyDescent="0.35">
      <c r="B21" s="405"/>
      <c r="C21" s="1094" t="str">
        <f>template_label_undertakings_are_excluded_from_the_eu_paris_aligned_benchmarks_if_they_derive</f>
        <v>Undertakings are excluded from the EU Paris-aligned Benchmarks if they  derive:</v>
      </c>
      <c r="D21" s="1095"/>
      <c r="E21" s="1095"/>
      <c r="F21" s="1095"/>
      <c r="G21" s="1095"/>
      <c r="H21" s="1096"/>
      <c r="I21" s="15"/>
    </row>
    <row r="22" spans="1:9" s="10" customFormat="1" ht="30" customHeight="1" x14ac:dyDescent="0.35">
      <c r="A22" s="464">
        <v>64</v>
      </c>
      <c r="B22" s="467" t="s">
        <v>5668</v>
      </c>
      <c r="C22" s="1100" t="str">
        <f>template_label_1_percent_or_more_of_their_revenues_from_exploration_mining_extraction_distribution_or_refining_of_hard_coal_and_lignite</f>
        <v>1% or more of their revenues from exploration mining extraction distribution or refining of hard coal and lignite</v>
      </c>
      <c r="D22" s="1101"/>
      <c r="E22" s="1101"/>
      <c r="F22" s="1101"/>
      <c r="G22" s="1102"/>
      <c r="H22" s="171" t="b">
        <v>0</v>
      </c>
      <c r="I22" s="1005" t="str">
        <f>IF(AND(OR(H22=TRUE, H23=TRUE, H24=TRUE, H25=TRUE), 'General Information'!E32="Option B (Basic Module and Comprehensive Module)"), template_label_ok,
    IF(AND(H22=FALSE, H23=FALSE, H24=FALSE, H25=FALSE, H26=FALSE, 'General Information'!E32="Option B (Basic Module and Comprehensive Module)"), template_label_missing_value,
    IF('General Information'!E32="Option A (Basic Module only)", "",
    IF(AND('General Information'!E32="Option B (Basic Module and Comprehensive Module)", H26=TRUE), template_label_ok, ""))))</f>
        <v/>
      </c>
    </row>
    <row r="23" spans="1:9" s="10" customFormat="1" x14ac:dyDescent="0.35">
      <c r="A23" s="464">
        <v>64</v>
      </c>
      <c r="B23" s="467" t="s">
        <v>5670</v>
      </c>
      <c r="C23" s="1103" t="str">
        <f>template_label_10_percent_or_more_of_their_revenues_from_the_exploration_extraction_distribution_or_refining_of_oil_fuels</f>
        <v>10% or more of their revenues from the exploration extraction distribution or refining of oil fuels</v>
      </c>
      <c r="D23" s="1104"/>
      <c r="E23" s="1104"/>
      <c r="F23" s="1104"/>
      <c r="G23" s="1105"/>
      <c r="H23" s="172" t="b">
        <v>0</v>
      </c>
      <c r="I23" s="1005"/>
    </row>
    <row r="24" spans="1:9" s="10" customFormat="1" ht="32.4" customHeight="1" x14ac:dyDescent="0.35">
      <c r="A24" s="464">
        <v>64</v>
      </c>
      <c r="B24" s="467" t="s">
        <v>5671</v>
      </c>
      <c r="C24" s="1106" t="str">
        <f>template_label_50_percent_or_more_of_their_revenues_from_the_exploration_extraction_manufacturing_or_distribution_of_gaseous_fuels</f>
        <v>50% or more of their revenues from the exploration extraction manufacturing or distribution of gaseous fuels</v>
      </c>
      <c r="D24" s="1107"/>
      <c r="E24" s="1107"/>
      <c r="F24" s="1107"/>
      <c r="G24" s="1108"/>
      <c r="H24" s="172" t="b">
        <v>0</v>
      </c>
      <c r="I24" s="1005"/>
    </row>
    <row r="25" spans="1:9" s="10" customFormat="1" ht="31.25" customHeight="1" thickBot="1" x14ac:dyDescent="0.4">
      <c r="A25" s="464">
        <v>64</v>
      </c>
      <c r="B25" s="467" t="s">
        <v>5672</v>
      </c>
      <c r="C25" s="1109" t="str">
        <f>template_label_50_percent_or_more_of_their_revenues_from_electricity_generation</f>
        <v>50% or more of their revenues from electricity generation with a GHG intensity of more than 100g CO2 e kWh</v>
      </c>
      <c r="D25" s="1110"/>
      <c r="E25" s="1110"/>
      <c r="F25" s="1110"/>
      <c r="G25" s="1111"/>
      <c r="H25" s="173" t="b">
        <v>0</v>
      </c>
      <c r="I25" s="1005"/>
    </row>
    <row r="26" spans="1:9" s="10" customFormat="1" ht="15" thickBot="1" x14ac:dyDescent="0.4">
      <c r="C26" s="1078" t="str">
        <f>template_label_none_of_the_above</f>
        <v>None of the above</v>
      </c>
      <c r="D26" s="1079"/>
      <c r="E26" s="1079"/>
      <c r="F26" s="1079"/>
      <c r="G26" s="1080"/>
      <c r="H26" s="174" t="b">
        <v>0</v>
      </c>
      <c r="I26" s="1005"/>
    </row>
    <row r="27" spans="1:9" s="10" customFormat="1" ht="15" thickBot="1" x14ac:dyDescent="0.4">
      <c r="A27" s="464">
        <v>64</v>
      </c>
      <c r="B27" s="467">
        <v>177</v>
      </c>
      <c r="C27" s="1081" t="str">
        <f>template_label_undertakings_are_excluded_from_any_eu_reference_benchmarks_that_are_aligned_with_the_paris_agreement</f>
        <v>Undertakings are excluded from any EU reference benchmarks that are aligned with the Paris Agreement</v>
      </c>
      <c r="D27" s="1082"/>
      <c r="E27" s="1082"/>
      <c r="F27" s="1082"/>
      <c r="G27" s="1083"/>
      <c r="H27" s="20" t="str">
        <f>IF(AND(OR(H22=TRUE, H23=TRUE, H24=TRUE, H25=TRUE), H26=FALSE), "YES",
   IF(AND(OR(H22=TRUE, H23=TRUE, H24=TRUE, H25=TRUE), H26=TRUE), "NA",
   IF(AND(H22=FALSE, H23=FALSE, H24=FALSE, H25=FALSE, H26=TRUE), "NO",
   IF(AND(H22=FALSE, H23=FALSE, H24=FALSE, H25=FALSE, H26=FALSE), "-", ""))))</f>
        <v>-</v>
      </c>
      <c r="I27" s="15" t="str">
        <f>IF(H27=TRUE, template_label_ok, "")</f>
        <v/>
      </c>
    </row>
    <row r="28" spans="1:9" s="10" customFormat="1" ht="15" thickBot="1" x14ac:dyDescent="0.4">
      <c r="I28" s="15"/>
    </row>
    <row r="29" spans="1:9" s="10" customFormat="1" x14ac:dyDescent="0.35">
      <c r="C29" s="1086" t="str">
        <f>template_label_c9_gender_diversity_ratio_in_the_governance_body&amp;" "&amp;template_label_at&amp;" "&amp;template_ending_date_display&amp;" "&amp;template_label_if_applicable</f>
        <v>C9 – Gender diversity ratio in the governance body at - [If applicable]</v>
      </c>
      <c r="D29" s="1087"/>
      <c r="E29" s="1087"/>
      <c r="F29" s="1087"/>
      <c r="G29" s="1087"/>
      <c r="H29" s="1088"/>
      <c r="I29" s="15"/>
    </row>
    <row r="30" spans="1:9" s="10" customFormat="1" x14ac:dyDescent="0.35">
      <c r="C30" s="1068" t="str">
        <f>template_label_does_the_undertaking_have_a_governance_body_in_place</f>
        <v>Does the undertaking have a governance body in place?</v>
      </c>
      <c r="D30" s="1069"/>
      <c r="E30" s="1069"/>
      <c r="F30" s="1069"/>
      <c r="G30" s="1069"/>
      <c r="H30" s="170" t="b">
        <v>0</v>
      </c>
      <c r="I30" s="15"/>
    </row>
    <row r="31" spans="1:9" s="10" customFormat="1" x14ac:dyDescent="0.35">
      <c r="A31" s="1060">
        <v>65</v>
      </c>
      <c r="B31" s="1063" t="s">
        <v>5673</v>
      </c>
      <c r="C31" s="1068" t="str">
        <f>template_label_number_of_female_board_members_at_the_end_of_the_reporting_period</f>
        <v>Number of female board members at the end of the reporting period</v>
      </c>
      <c r="D31" s="1069"/>
      <c r="E31" s="1069"/>
      <c r="F31" s="1069"/>
      <c r="G31" s="1069"/>
      <c r="H31" s="286"/>
      <c r="I31" s="15" t="str">
        <f>IF(AND($H$30=TRUE, H31&lt;&gt;""), template_label_ok, IF(AND($H$30=TRUE, H31=""), template_label_missing_value, ""))</f>
        <v/>
      </c>
    </row>
    <row r="32" spans="1:9" s="10" customFormat="1" x14ac:dyDescent="0.35">
      <c r="A32" s="1061"/>
      <c r="B32" s="1064"/>
      <c r="C32" s="1068" t="str">
        <f>template_label_number_of_male_board_members_at_the_end_of_the_reporting_period</f>
        <v>Number of male board members at the end of the reporting period</v>
      </c>
      <c r="D32" s="1069"/>
      <c r="E32" s="1069"/>
      <c r="F32" s="1069"/>
      <c r="G32" s="1069"/>
      <c r="H32" s="286"/>
      <c r="I32" s="15" t="str">
        <f>IF(AND($H$30=TRUE, H32&lt;&gt;""), template_label_ok, IF(AND($H$30=TRUE, H32=""), template_label_missing_value, ""))</f>
        <v/>
      </c>
    </row>
    <row r="33" spans="1:9" s="10" customFormat="1" ht="15" thickBot="1" x14ac:dyDescent="0.4">
      <c r="A33" s="1062"/>
      <c r="B33" s="1065"/>
      <c r="C33" s="1066" t="str">
        <f>template_label_gender_diversity_ratio_in_governance_body</f>
        <v>Gender diversity ratio in governance body</v>
      </c>
      <c r="D33" s="1067"/>
      <c r="E33" s="1067"/>
      <c r="F33" s="1067"/>
      <c r="G33" s="1067"/>
      <c r="H33" s="282" t="str">
        <f>IF(AND(H31&lt;&gt;"",H32&lt;&gt;""),IF(OR(H31=0,H32=0),0,H31/H32),"-")</f>
        <v>-</v>
      </c>
      <c r="I33" s="15"/>
    </row>
    <row r="34" spans="1:9" s="10" customFormat="1" x14ac:dyDescent="0.35">
      <c r="I34" s="15"/>
    </row>
    <row r="35" spans="1:9" s="10" customFormat="1" x14ac:dyDescent="0.35">
      <c r="I35" s="15"/>
    </row>
    <row r="36" spans="1:9" s="10" customFormat="1" x14ac:dyDescent="0.35">
      <c r="C36" s="540" t="str">
        <f>template_label_disclosure_of_any_other_governance_and_or_entity_specific_governance_disclosures&amp;" "&amp;template_label_from&amp;" "&amp;template_starting_date_display&amp;" "&amp;template_label_to&amp;" "&amp;template_ending_date_display&amp;" " &amp; template_label_may</f>
        <v>Disclosure of any other governance and or entity specific governance disclosures from - to - [May (optional)]</v>
      </c>
      <c r="D36" s="541"/>
      <c r="E36" s="541"/>
      <c r="F36" s="541"/>
      <c r="G36" s="541"/>
      <c r="H36" s="542"/>
      <c r="I36" s="15"/>
    </row>
    <row r="37" spans="1:9" s="10" customFormat="1" x14ac:dyDescent="0.35">
      <c r="C37" s="1075">
        <v>10</v>
      </c>
      <c r="D37" s="1076"/>
      <c r="E37" s="1076"/>
      <c r="F37" s="1076"/>
      <c r="G37" s="1076"/>
      <c r="H37" s="1077"/>
      <c r="I37" s="15"/>
    </row>
    <row r="38" spans="1:9" s="10" customFormat="1" ht="15" thickBot="1" x14ac:dyDescent="0.4">
      <c r="C38" s="534"/>
      <c r="D38" s="535"/>
      <c r="E38" s="535"/>
      <c r="F38" s="535"/>
      <c r="G38" s="535"/>
      <c r="H38" s="1057"/>
      <c r="I38" s="19" t="str">
        <f>IF(C38&lt;&gt;"",template_label_ok, "")</f>
        <v/>
      </c>
    </row>
    <row r="39" spans="1:9" s="10" customFormat="1" x14ac:dyDescent="0.35">
      <c r="I39" s="15"/>
    </row>
    <row r="40" spans="1:9" s="10" customFormat="1" x14ac:dyDescent="0.35">
      <c r="I40" s="15"/>
    </row>
    <row r="41" spans="1:9" s="10" customFormat="1" x14ac:dyDescent="0.35">
      <c r="I41" s="15"/>
    </row>
    <row r="42" spans="1:9" s="10" customFormat="1" x14ac:dyDescent="0.35">
      <c r="I42" s="15"/>
    </row>
    <row r="43" spans="1:9" s="10" customFormat="1" x14ac:dyDescent="0.35">
      <c r="I43" s="15"/>
    </row>
    <row r="44" spans="1:9" s="10" customFormat="1" x14ac:dyDescent="0.35">
      <c r="I44" s="15"/>
    </row>
    <row r="45" spans="1:9" s="10" customFormat="1" x14ac:dyDescent="0.35">
      <c r="I45" s="15"/>
    </row>
    <row r="46" spans="1:9" s="10" customFormat="1" x14ac:dyDescent="0.35">
      <c r="I46" s="15"/>
    </row>
    <row r="47" spans="1:9" s="10" customFormat="1" x14ac:dyDescent="0.35">
      <c r="I47" s="15"/>
    </row>
    <row r="48" spans="1:9" s="10" customFormat="1" x14ac:dyDescent="0.35">
      <c r="I48" s="15"/>
    </row>
    <row r="49" spans="9:9" s="10" customFormat="1" x14ac:dyDescent="0.35">
      <c r="I49" s="15"/>
    </row>
    <row r="50" spans="9:9" s="10" customFormat="1" x14ac:dyDescent="0.35">
      <c r="I50" s="15"/>
    </row>
    <row r="51" spans="9:9" s="10" customFormat="1" x14ac:dyDescent="0.35">
      <c r="I51" s="15"/>
    </row>
    <row r="52" spans="9:9" s="10" customFormat="1" x14ac:dyDescent="0.35">
      <c r="I52" s="15"/>
    </row>
    <row r="53" spans="9:9" s="10" customFormat="1" x14ac:dyDescent="0.35">
      <c r="I53" s="15"/>
    </row>
    <row r="54" spans="9:9" s="10" customFormat="1" x14ac:dyDescent="0.35">
      <c r="I54" s="15"/>
    </row>
    <row r="55" spans="9:9" s="10" customFormat="1" x14ac:dyDescent="0.35">
      <c r="I55" s="15"/>
    </row>
    <row r="56" spans="9:9" s="10" customFormat="1" x14ac:dyDescent="0.35">
      <c r="I56" s="15"/>
    </row>
    <row r="57" spans="9:9" s="10" customFormat="1" x14ac:dyDescent="0.35">
      <c r="I57" s="15"/>
    </row>
    <row r="58" spans="9:9" s="10" customFormat="1" x14ac:dyDescent="0.35">
      <c r="I58" s="15"/>
    </row>
    <row r="59" spans="9:9" s="10" customFormat="1" x14ac:dyDescent="0.35">
      <c r="I59" s="15"/>
    </row>
    <row r="60" spans="9:9" s="10" customFormat="1" x14ac:dyDescent="0.35">
      <c r="I60" s="15"/>
    </row>
    <row r="61" spans="9:9" s="10" customFormat="1" x14ac:dyDescent="0.35">
      <c r="I61" s="15"/>
    </row>
    <row r="62" spans="9:9" s="10" customFormat="1" x14ac:dyDescent="0.35">
      <c r="I62" s="15"/>
    </row>
    <row r="63" spans="9:9" s="10" customFormat="1" x14ac:dyDescent="0.35">
      <c r="I63" s="15"/>
    </row>
    <row r="64" spans="9:9" s="10" customFormat="1" x14ac:dyDescent="0.35">
      <c r="I64" s="15"/>
    </row>
    <row r="65" spans="9:9" s="10" customFormat="1" x14ac:dyDescent="0.35">
      <c r="I65" s="15"/>
    </row>
    <row r="66" spans="9:9" s="10" customFormat="1" x14ac:dyDescent="0.35">
      <c r="I66" s="15"/>
    </row>
    <row r="67" spans="9:9" s="10" customFormat="1" x14ac:dyDescent="0.35">
      <c r="I67" s="15"/>
    </row>
    <row r="68" spans="9:9" s="10" customFormat="1" x14ac:dyDescent="0.35">
      <c r="I68" s="15"/>
    </row>
    <row r="69" spans="9:9" s="10" customFormat="1" x14ac:dyDescent="0.35">
      <c r="I69" s="15"/>
    </row>
    <row r="70" spans="9:9" s="10" customFormat="1" x14ac:dyDescent="0.35">
      <c r="I70" s="15"/>
    </row>
    <row r="71" spans="9:9" s="10" customFormat="1" x14ac:dyDescent="0.35">
      <c r="I71" s="15"/>
    </row>
    <row r="72" spans="9:9" s="10" customFormat="1" x14ac:dyDescent="0.35">
      <c r="I72" s="15"/>
    </row>
    <row r="73" spans="9:9" s="10" customFormat="1" x14ac:dyDescent="0.35">
      <c r="I73" s="15"/>
    </row>
    <row r="74" spans="9:9" s="10" customFormat="1" x14ac:dyDescent="0.35">
      <c r="I74" s="15"/>
    </row>
    <row r="75" spans="9:9" s="10" customFormat="1" x14ac:dyDescent="0.35">
      <c r="I75" s="15"/>
    </row>
    <row r="76" spans="9:9" s="10" customFormat="1" x14ac:dyDescent="0.35">
      <c r="I76" s="15"/>
    </row>
    <row r="77" spans="9:9" s="10" customFormat="1" x14ac:dyDescent="0.35">
      <c r="I77" s="15"/>
    </row>
    <row r="78" spans="9:9" s="10" customFormat="1" x14ac:dyDescent="0.35">
      <c r="I78" s="15"/>
    </row>
    <row r="79" spans="9:9" s="10" customFormat="1" x14ac:dyDescent="0.35">
      <c r="I79" s="15"/>
    </row>
    <row r="80" spans="9:9" s="10" customFormat="1" x14ac:dyDescent="0.35">
      <c r="I80" s="15"/>
    </row>
    <row r="81" spans="9:9" s="10" customFormat="1" x14ac:dyDescent="0.35">
      <c r="I81" s="15"/>
    </row>
    <row r="82" spans="9:9" s="10" customFormat="1" x14ac:dyDescent="0.35">
      <c r="I82" s="15"/>
    </row>
    <row r="83" spans="9:9" s="10" customFormat="1" x14ac:dyDescent="0.35">
      <c r="I83" s="15"/>
    </row>
    <row r="84" spans="9:9" s="10" customFormat="1" x14ac:dyDescent="0.35">
      <c r="I84" s="15"/>
    </row>
    <row r="85" spans="9:9" s="10" customFormat="1" x14ac:dyDescent="0.35">
      <c r="I85" s="15"/>
    </row>
    <row r="86" spans="9:9" s="10" customFormat="1" x14ac:dyDescent="0.35">
      <c r="I86" s="15"/>
    </row>
    <row r="87" spans="9:9" s="10" customFormat="1" x14ac:dyDescent="0.35">
      <c r="I87" s="15"/>
    </row>
    <row r="88" spans="9:9" s="10" customFormat="1" x14ac:dyDescent="0.35">
      <c r="I88" s="15"/>
    </row>
    <row r="89" spans="9:9" s="10" customFormat="1" x14ac:dyDescent="0.35">
      <c r="I89" s="15"/>
    </row>
    <row r="90" spans="9:9" s="10" customFormat="1" x14ac:dyDescent="0.35">
      <c r="I90" s="15"/>
    </row>
    <row r="91" spans="9:9" s="10" customFormat="1" x14ac:dyDescent="0.35">
      <c r="I91" s="15"/>
    </row>
    <row r="92" spans="9:9" s="10" customFormat="1" x14ac:dyDescent="0.35">
      <c r="I92" s="15"/>
    </row>
    <row r="93" spans="9:9" s="10" customFormat="1" x14ac:dyDescent="0.35">
      <c r="I93" s="15"/>
    </row>
    <row r="94" spans="9:9" s="10" customFormat="1" x14ac:dyDescent="0.35">
      <c r="I94" s="15"/>
    </row>
    <row r="95" spans="9:9" s="10" customFormat="1" x14ac:dyDescent="0.35">
      <c r="I95" s="15"/>
    </row>
    <row r="96" spans="9:9" s="10" customFormat="1" x14ac:dyDescent="0.35">
      <c r="I96" s="15"/>
    </row>
    <row r="97" spans="9:9" s="10" customFormat="1" x14ac:dyDescent="0.35">
      <c r="I97" s="15"/>
    </row>
    <row r="98" spans="9:9" s="10" customFormat="1" x14ac:dyDescent="0.35">
      <c r="I98" s="15"/>
    </row>
    <row r="99" spans="9:9" s="10" customFormat="1" x14ac:dyDescent="0.35">
      <c r="I99" s="15"/>
    </row>
    <row r="100" spans="9:9" s="10" customFormat="1" x14ac:dyDescent="0.35">
      <c r="I100" s="15"/>
    </row>
    <row r="101" spans="9:9" s="10" customFormat="1" x14ac:dyDescent="0.35">
      <c r="I101" s="15"/>
    </row>
    <row r="102" spans="9:9" s="10" customFormat="1" x14ac:dyDescent="0.35">
      <c r="I102" s="15"/>
    </row>
    <row r="103" spans="9:9" s="10" customFormat="1" x14ac:dyDescent="0.35">
      <c r="I103" s="15"/>
    </row>
    <row r="104" spans="9:9" s="10" customFormat="1" x14ac:dyDescent="0.35">
      <c r="I104" s="15"/>
    </row>
    <row r="105" spans="9:9" s="10" customFormat="1" x14ac:dyDescent="0.35">
      <c r="I105" s="15"/>
    </row>
    <row r="106" spans="9:9" s="10" customFormat="1" x14ac:dyDescent="0.35">
      <c r="I106" s="15"/>
    </row>
    <row r="107" spans="9:9" s="10" customFormat="1" x14ac:dyDescent="0.35">
      <c r="I107" s="15"/>
    </row>
    <row r="108" spans="9:9" s="10" customFormat="1" x14ac:dyDescent="0.35">
      <c r="I108" s="15"/>
    </row>
    <row r="109" spans="9:9" s="10" customFormat="1" x14ac:dyDescent="0.35">
      <c r="I109" s="15"/>
    </row>
    <row r="110" spans="9:9" s="10" customFormat="1" x14ac:dyDescent="0.35">
      <c r="I110" s="15"/>
    </row>
    <row r="111" spans="9:9" s="10" customFormat="1" x14ac:dyDescent="0.35">
      <c r="I111" s="15"/>
    </row>
    <row r="112" spans="9:9" s="10" customFormat="1" x14ac:dyDescent="0.35">
      <c r="I112" s="15"/>
    </row>
    <row r="113" spans="9:9" s="10" customFormat="1" x14ac:dyDescent="0.35">
      <c r="I113" s="15"/>
    </row>
    <row r="114" spans="9:9" s="10" customFormat="1" x14ac:dyDescent="0.35">
      <c r="I114" s="15"/>
    </row>
    <row r="115" spans="9:9" s="10" customFormat="1" x14ac:dyDescent="0.35">
      <c r="I115" s="15"/>
    </row>
    <row r="116" spans="9:9" s="10" customFormat="1" x14ac:dyDescent="0.35">
      <c r="I116" s="15"/>
    </row>
    <row r="117" spans="9:9" s="10" customFormat="1" x14ac:dyDescent="0.35">
      <c r="I117" s="15"/>
    </row>
    <row r="118" spans="9:9" s="10" customFormat="1" x14ac:dyDescent="0.35">
      <c r="I118" s="15"/>
    </row>
    <row r="119" spans="9:9" s="10" customFormat="1" x14ac:dyDescent="0.35">
      <c r="I119" s="15"/>
    </row>
    <row r="120" spans="9:9" s="10" customFormat="1" x14ac:dyDescent="0.35">
      <c r="I120" s="15"/>
    </row>
    <row r="121" spans="9:9" s="10" customFormat="1" x14ac:dyDescent="0.35">
      <c r="I121" s="15"/>
    </row>
    <row r="122" spans="9:9" s="10" customFormat="1" x14ac:dyDescent="0.35">
      <c r="I122" s="15"/>
    </row>
    <row r="123" spans="9:9" s="10" customFormat="1" x14ac:dyDescent="0.35">
      <c r="I123" s="15"/>
    </row>
    <row r="124" spans="9:9" s="10" customFormat="1" x14ac:dyDescent="0.35">
      <c r="I124" s="15"/>
    </row>
    <row r="125" spans="9:9" s="10" customFormat="1" x14ac:dyDescent="0.35">
      <c r="I125" s="15"/>
    </row>
    <row r="126" spans="9:9" s="10" customFormat="1" x14ac:dyDescent="0.35">
      <c r="I126" s="15"/>
    </row>
    <row r="127" spans="9:9" s="10" customFormat="1" x14ac:dyDescent="0.35">
      <c r="I127" s="15"/>
    </row>
    <row r="128" spans="9:9" s="10" customFormat="1" x14ac:dyDescent="0.35">
      <c r="I128" s="15"/>
    </row>
    <row r="129" spans="9:9" s="10" customFormat="1" x14ac:dyDescent="0.35">
      <c r="I129" s="15"/>
    </row>
    <row r="130" spans="9:9" s="10" customFormat="1" x14ac:dyDescent="0.35">
      <c r="I130" s="15"/>
    </row>
    <row r="131" spans="9:9" s="10" customFormat="1" x14ac:dyDescent="0.35">
      <c r="I131" s="15"/>
    </row>
    <row r="132" spans="9:9" s="10" customFormat="1" x14ac:dyDescent="0.35">
      <c r="I132" s="15"/>
    </row>
    <row r="133" spans="9:9" s="10" customFormat="1" x14ac:dyDescent="0.35">
      <c r="I133" s="15"/>
    </row>
    <row r="134" spans="9:9" s="10" customFormat="1" x14ac:dyDescent="0.35">
      <c r="I134" s="15"/>
    </row>
    <row r="135" spans="9:9" s="10" customFormat="1" x14ac:dyDescent="0.35">
      <c r="I135" s="15"/>
    </row>
    <row r="136" spans="9:9" s="10" customFormat="1" x14ac:dyDescent="0.35">
      <c r="I136" s="15"/>
    </row>
    <row r="137" spans="9:9" s="10" customFormat="1" x14ac:dyDescent="0.35">
      <c r="I137" s="15"/>
    </row>
    <row r="138" spans="9:9" s="10" customFormat="1" x14ac:dyDescent="0.35">
      <c r="I138" s="15"/>
    </row>
    <row r="139" spans="9:9" s="10" customFormat="1" x14ac:dyDescent="0.35">
      <c r="I139" s="15"/>
    </row>
    <row r="140" spans="9:9" s="10" customFormat="1" x14ac:dyDescent="0.35">
      <c r="I140" s="15"/>
    </row>
    <row r="141" spans="9:9" s="10" customFormat="1" x14ac:dyDescent="0.35">
      <c r="I141" s="15"/>
    </row>
    <row r="142" spans="9:9" s="10" customFormat="1" x14ac:dyDescent="0.35">
      <c r="I142" s="15"/>
    </row>
    <row r="143" spans="9:9" s="10" customFormat="1" x14ac:dyDescent="0.35">
      <c r="I143" s="15"/>
    </row>
    <row r="144" spans="9:9" s="10" customFormat="1" x14ac:dyDescent="0.35">
      <c r="I144" s="15"/>
    </row>
    <row r="145" spans="9:9" s="10" customFormat="1" x14ac:dyDescent="0.35">
      <c r="I145" s="15"/>
    </row>
    <row r="146" spans="9:9" s="10" customFormat="1" x14ac:dyDescent="0.35">
      <c r="I146" s="15"/>
    </row>
    <row r="147" spans="9:9" s="10" customFormat="1" x14ac:dyDescent="0.35">
      <c r="I147" s="15"/>
    </row>
    <row r="148" spans="9:9" s="10" customFormat="1" x14ac:dyDescent="0.35">
      <c r="I148" s="15"/>
    </row>
    <row r="149" spans="9:9" s="10" customFormat="1" x14ac:dyDescent="0.35">
      <c r="I149" s="15"/>
    </row>
    <row r="150" spans="9:9" s="10" customFormat="1" x14ac:dyDescent="0.35">
      <c r="I150" s="15"/>
    </row>
    <row r="151" spans="9:9" s="10" customFormat="1" x14ac:dyDescent="0.35">
      <c r="I151" s="15"/>
    </row>
    <row r="152" spans="9:9" s="10" customFormat="1" x14ac:dyDescent="0.35">
      <c r="I152" s="15"/>
    </row>
    <row r="153" spans="9:9" s="10" customFormat="1" x14ac:dyDescent="0.35">
      <c r="I153" s="15"/>
    </row>
    <row r="154" spans="9:9" s="10" customFormat="1" x14ac:dyDescent="0.35">
      <c r="I154" s="15"/>
    </row>
    <row r="155" spans="9:9" s="10" customFormat="1" x14ac:dyDescent="0.35">
      <c r="I155" s="15"/>
    </row>
    <row r="156" spans="9:9" s="10" customFormat="1" x14ac:dyDescent="0.35">
      <c r="I156" s="15"/>
    </row>
    <row r="157" spans="9:9" s="10" customFormat="1" x14ac:dyDescent="0.35">
      <c r="I157" s="15"/>
    </row>
    <row r="158" spans="9:9" s="10" customFormat="1" x14ac:dyDescent="0.35">
      <c r="I158" s="15"/>
    </row>
    <row r="159" spans="9:9" s="10" customFormat="1" x14ac:dyDescent="0.35">
      <c r="I159" s="15"/>
    </row>
    <row r="160" spans="9:9" s="10" customFormat="1" x14ac:dyDescent="0.35">
      <c r="I160" s="15"/>
    </row>
    <row r="161" spans="9:9" s="10" customFormat="1" x14ac:dyDescent="0.35">
      <c r="I161" s="15"/>
    </row>
    <row r="162" spans="9:9" s="10" customFormat="1" x14ac:dyDescent="0.35">
      <c r="I162" s="15"/>
    </row>
    <row r="163" spans="9:9" s="10" customFormat="1" x14ac:dyDescent="0.35">
      <c r="I163" s="15"/>
    </row>
    <row r="164" spans="9:9" s="10" customFormat="1" x14ac:dyDescent="0.35">
      <c r="I164" s="15"/>
    </row>
    <row r="165" spans="9:9" s="10" customFormat="1" x14ac:dyDescent="0.35">
      <c r="I165" s="15"/>
    </row>
    <row r="166" spans="9:9" s="10" customFormat="1" x14ac:dyDescent="0.35">
      <c r="I166" s="15"/>
    </row>
    <row r="167" spans="9:9" s="10" customFormat="1" x14ac:dyDescent="0.35">
      <c r="I167" s="15"/>
    </row>
    <row r="168" spans="9:9" s="10" customFormat="1" x14ac:dyDescent="0.35">
      <c r="I168" s="15"/>
    </row>
    <row r="169" spans="9:9" s="10" customFormat="1" x14ac:dyDescent="0.35">
      <c r="I169" s="15"/>
    </row>
    <row r="170" spans="9:9" s="10" customFormat="1" x14ac:dyDescent="0.35">
      <c r="I170" s="15"/>
    </row>
    <row r="171" spans="9:9" s="10" customFormat="1" x14ac:dyDescent="0.35">
      <c r="I171" s="15"/>
    </row>
    <row r="172" spans="9:9" s="10" customFormat="1" x14ac:dyDescent="0.35">
      <c r="I172" s="15"/>
    </row>
    <row r="173" spans="9:9" s="10" customFormat="1" x14ac:dyDescent="0.35">
      <c r="I173" s="15"/>
    </row>
    <row r="174" spans="9:9" s="10" customFormat="1" x14ac:dyDescent="0.35">
      <c r="I174" s="15"/>
    </row>
    <row r="175" spans="9:9" s="10" customFormat="1" x14ac:dyDescent="0.35">
      <c r="I175" s="15"/>
    </row>
    <row r="176" spans="9:9" s="10" customFormat="1" x14ac:dyDescent="0.35">
      <c r="I176" s="15"/>
    </row>
    <row r="177" spans="9:9" s="10" customFormat="1" x14ac:dyDescent="0.35">
      <c r="I177" s="15"/>
    </row>
    <row r="178" spans="9:9" s="10" customFormat="1" x14ac:dyDescent="0.35">
      <c r="I178" s="15"/>
    </row>
    <row r="179" spans="9:9" s="10" customFormat="1" x14ac:dyDescent="0.35">
      <c r="I179" s="15"/>
    </row>
    <row r="180" spans="9:9" s="10" customFormat="1" x14ac:dyDescent="0.35">
      <c r="I180" s="15"/>
    </row>
    <row r="181" spans="9:9" s="10" customFormat="1" x14ac:dyDescent="0.35">
      <c r="I181" s="15"/>
    </row>
    <row r="182" spans="9:9" s="10" customFormat="1" x14ac:dyDescent="0.35">
      <c r="I182" s="15"/>
    </row>
    <row r="183" spans="9:9" s="10" customFormat="1" x14ac:dyDescent="0.35">
      <c r="I183" s="15"/>
    </row>
    <row r="184" spans="9:9" s="10" customFormat="1" x14ac:dyDescent="0.35">
      <c r="I184" s="15"/>
    </row>
    <row r="185" spans="9:9" s="10" customFormat="1" x14ac:dyDescent="0.35">
      <c r="I185" s="15"/>
    </row>
    <row r="186" spans="9:9" s="10" customFormat="1" x14ac:dyDescent="0.35">
      <c r="I186" s="15"/>
    </row>
    <row r="187" spans="9:9" s="10" customFormat="1" x14ac:dyDescent="0.35">
      <c r="I187" s="15"/>
    </row>
    <row r="188" spans="9:9" s="10" customFormat="1" x14ac:dyDescent="0.35">
      <c r="I188" s="15"/>
    </row>
    <row r="189" spans="9:9" s="10" customFormat="1" x14ac:dyDescent="0.35">
      <c r="I189" s="15"/>
    </row>
    <row r="190" spans="9:9" s="10" customFormat="1" x14ac:dyDescent="0.35">
      <c r="I190" s="15"/>
    </row>
    <row r="191" spans="9:9" s="10" customFormat="1" x14ac:dyDescent="0.35">
      <c r="I191" s="15"/>
    </row>
    <row r="192" spans="9:9" s="10" customFormat="1" x14ac:dyDescent="0.35">
      <c r="I192" s="15"/>
    </row>
    <row r="193" spans="9:9" s="10" customFormat="1" x14ac:dyDescent="0.35">
      <c r="I193" s="15"/>
    </row>
    <row r="194" spans="9:9" s="10" customFormat="1" x14ac:dyDescent="0.35">
      <c r="I194" s="15"/>
    </row>
    <row r="195" spans="9:9" s="10" customFormat="1" x14ac:dyDescent="0.35">
      <c r="I195" s="15"/>
    </row>
    <row r="196" spans="9:9" s="10" customFormat="1" x14ac:dyDescent="0.35">
      <c r="I196" s="15"/>
    </row>
    <row r="197" spans="9:9" s="10" customFormat="1" x14ac:dyDescent="0.35">
      <c r="I197" s="15"/>
    </row>
    <row r="198" spans="9:9" s="10" customFormat="1" x14ac:dyDescent="0.35">
      <c r="I198" s="15"/>
    </row>
    <row r="199" spans="9:9" s="10" customFormat="1" x14ac:dyDescent="0.35">
      <c r="I199" s="15"/>
    </row>
    <row r="200" spans="9:9" s="10" customFormat="1" x14ac:dyDescent="0.35">
      <c r="I200" s="15"/>
    </row>
    <row r="201" spans="9:9" s="10" customFormat="1" x14ac:dyDescent="0.35">
      <c r="I201" s="15"/>
    </row>
    <row r="202" spans="9:9" s="10" customFormat="1" x14ac:dyDescent="0.35">
      <c r="I202" s="15"/>
    </row>
    <row r="203" spans="9:9" s="10" customFormat="1" x14ac:dyDescent="0.35">
      <c r="I203" s="15"/>
    </row>
    <row r="204" spans="9:9" s="10" customFormat="1" x14ac:dyDescent="0.35">
      <c r="I204" s="15"/>
    </row>
    <row r="205" spans="9:9" s="10" customFormat="1" x14ac:dyDescent="0.35">
      <c r="I205" s="15"/>
    </row>
    <row r="206" spans="9:9" s="10" customFormat="1" x14ac:dyDescent="0.35">
      <c r="I206" s="15"/>
    </row>
    <row r="207" spans="9:9" s="10" customFormat="1" x14ac:dyDescent="0.35">
      <c r="I207" s="15"/>
    </row>
    <row r="208" spans="9:9" s="10" customFormat="1" x14ac:dyDescent="0.35">
      <c r="I208" s="15"/>
    </row>
    <row r="209" spans="9:9" s="10" customFormat="1" x14ac:dyDescent="0.35">
      <c r="I209" s="15"/>
    </row>
    <row r="210" spans="9:9" s="10" customFormat="1" x14ac:dyDescent="0.35">
      <c r="I210" s="15"/>
    </row>
    <row r="211" spans="9:9" s="10" customFormat="1" x14ac:dyDescent="0.35">
      <c r="I211" s="15"/>
    </row>
    <row r="212" spans="9:9" s="10" customFormat="1" x14ac:dyDescent="0.35">
      <c r="I212" s="15"/>
    </row>
    <row r="213" spans="9:9" s="10" customFormat="1" x14ac:dyDescent="0.35">
      <c r="I213" s="15"/>
    </row>
    <row r="214" spans="9:9" s="10" customFormat="1" x14ac:dyDescent="0.35">
      <c r="I214" s="15"/>
    </row>
    <row r="215" spans="9:9" s="10" customFormat="1" x14ac:dyDescent="0.35">
      <c r="I215" s="15"/>
    </row>
    <row r="216" spans="9:9" s="10" customFormat="1" x14ac:dyDescent="0.35">
      <c r="I216" s="15"/>
    </row>
    <row r="217" spans="9:9" s="10" customFormat="1" x14ac:dyDescent="0.35">
      <c r="I217" s="15"/>
    </row>
    <row r="218" spans="9:9" s="10" customFormat="1" x14ac:dyDescent="0.35">
      <c r="I218" s="15"/>
    </row>
  </sheetData>
  <sheetProtection algorithmName="SHA-512" hashValue="uoa0ppqwmt3Hc0GAW1HRdMb0zWtmysr3EH5o43UeeYKWsAGfTAIzOE1rUUTTCePtEL5BUyuedthGhVDJJVPd3Q==" saltValue="+5JEPOpNYlMF6FwO05FugA==" spinCount="100000" sheet="1" formatColumns="0" formatRows="0" insertRows="0"/>
  <mergeCells count="36">
    <mergeCell ref="C2:H2"/>
    <mergeCell ref="C9:H9"/>
    <mergeCell ref="C29:H29"/>
    <mergeCell ref="C20:H20"/>
    <mergeCell ref="C3:H3"/>
    <mergeCell ref="C4:H4"/>
    <mergeCell ref="C21:H21"/>
    <mergeCell ref="C18:G18"/>
    <mergeCell ref="C11:G11"/>
    <mergeCell ref="C22:G22"/>
    <mergeCell ref="C23:G23"/>
    <mergeCell ref="C24:G24"/>
    <mergeCell ref="C25:G25"/>
    <mergeCell ref="C6:G6"/>
    <mergeCell ref="C7:G7"/>
    <mergeCell ref="C16:G16"/>
    <mergeCell ref="C17:G17"/>
    <mergeCell ref="C5:G5"/>
    <mergeCell ref="C10:G10"/>
    <mergeCell ref="I12:I18"/>
    <mergeCell ref="C38:H38"/>
    <mergeCell ref="C12:G12"/>
    <mergeCell ref="C13:G13"/>
    <mergeCell ref="C14:G14"/>
    <mergeCell ref="C36:H36"/>
    <mergeCell ref="C37:H37"/>
    <mergeCell ref="C26:G26"/>
    <mergeCell ref="I22:I26"/>
    <mergeCell ref="C15:G15"/>
    <mergeCell ref="C27:G27"/>
    <mergeCell ref="C30:G30"/>
    <mergeCell ref="A31:A33"/>
    <mergeCell ref="B31:B33"/>
    <mergeCell ref="C33:G33"/>
    <mergeCell ref="C31:G31"/>
    <mergeCell ref="C32:G32"/>
  </mergeCells>
  <phoneticPr fontId="3" type="noConversion"/>
  <conditionalFormatting sqref="H6:H7">
    <cfRule type="expression" dxfId="176" priority="7">
      <formula>$H$5=TRUE</formula>
    </cfRule>
  </conditionalFormatting>
  <conditionalFormatting sqref="H12:H16">
    <cfRule type="expression" dxfId="175" priority="6">
      <formula>$H$10=TRUE</formula>
    </cfRule>
  </conditionalFormatting>
  <conditionalFormatting sqref="H18">
    <cfRule type="expression" dxfId="174" priority="5">
      <formula>$H$10=TRUE</formula>
    </cfRule>
  </conditionalFormatting>
  <conditionalFormatting sqref="H31:H32">
    <cfRule type="expression" dxfId="173" priority="4">
      <formula>$H$30=TRUE</formula>
    </cfRule>
  </conditionalFormatting>
  <conditionalFormatting sqref="I6:I7">
    <cfRule type="expression" dxfId="172" priority="3">
      <formula>$I6=template_label_missing_value</formula>
    </cfRule>
    <cfRule type="expression" dxfId="171" priority="25">
      <formula>$I6=template_label_ok</formula>
    </cfRule>
  </conditionalFormatting>
  <conditionalFormatting sqref="I12:I18">
    <cfRule type="expression" dxfId="170" priority="1">
      <formula>$I$12=template_label_missing_value</formula>
    </cfRule>
    <cfRule type="expression" dxfId="169" priority="11">
      <formula>$I$12=template_label_value_inconsistency</formula>
    </cfRule>
    <cfRule type="expression" dxfId="168" priority="12">
      <formula>$I$12=template_label_ok</formula>
    </cfRule>
  </conditionalFormatting>
  <conditionalFormatting sqref="I22">
    <cfRule type="expression" dxfId="167" priority="8">
      <formula>$I$22=template_label_ok</formula>
    </cfRule>
    <cfRule type="expression" dxfId="166" priority="9">
      <formula>$I$22=template_label_missing_value</formula>
    </cfRule>
  </conditionalFormatting>
  <conditionalFormatting sqref="I27">
    <cfRule type="expression" dxfId="165" priority="18">
      <formula>$I$27="OK"</formula>
    </cfRule>
  </conditionalFormatting>
  <conditionalFormatting sqref="I30:I32">
    <cfRule type="expression" dxfId="164" priority="17">
      <formula>$I30=template_label_ok</formula>
    </cfRule>
  </conditionalFormatting>
  <conditionalFormatting sqref="I31:I32">
    <cfRule type="expression" dxfId="163" priority="2">
      <formula>$I31=template_label_missing_value</formula>
    </cfRule>
  </conditionalFormatting>
  <conditionalFormatting sqref="I38">
    <cfRule type="expression" dxfId="162" priority="10">
      <formula>$I$38=template_label_ok</formula>
    </cfRule>
  </conditionalFormatting>
  <dataValidations count="11">
    <dataValidation type="decimal" operator="equal" allowBlank="1" showInputMessage="1" showErrorMessage="1" sqref="H7" xr:uid="{6F872197-207D-42B9-A398-224136E9C3BE}">
      <formula1>H7</formula1>
    </dataValidation>
    <dataValidation type="whole" operator="equal" allowBlank="1" showInputMessage="1" showErrorMessage="1" sqref="H6 H31:H32" xr:uid="{BDA32504-9D53-471A-AB25-BD511E13155A}">
      <formula1>H6</formula1>
    </dataValidation>
    <dataValidation type="custom" showInputMessage="1" showErrorMessage="1" sqref="H24" xr:uid="{6855C78C-CF3E-4396-8813-563BA331F905}">
      <formula1>IF(H26=TRUE, FALSE, TRUE)</formula1>
    </dataValidation>
    <dataValidation type="custom" allowBlank="1" showInputMessage="1" showErrorMessage="1" sqref="H25" xr:uid="{5D8F047D-379E-481F-9B48-E72E8A36EBA3}">
      <formula1>IF(H26=TRUE, FALSE, TRUE)</formula1>
    </dataValidation>
    <dataValidation allowBlank="1" showInputMessage="1" showErrorMessage="1" promptTitle="Board gender diversity ratio" prompt="number of female board members / number of male board members" sqref="C33:G33" xr:uid="{13819AD4-B21A-4575-89EF-B9AD3B7EB561}"/>
    <dataValidation type="custom" showInputMessage="1" showErrorMessage="1" sqref="H22" xr:uid="{F98804C1-5D5A-4769-AD2B-312152F69373}">
      <formula1>IF(H26=TRUE, FALSE, TRUE)</formula1>
    </dataValidation>
    <dataValidation type="custom" showInputMessage="1" showErrorMessage="1" sqref="H26" xr:uid="{3DB3CBF6-ED39-4573-8FD1-8B9BD249A779}">
      <formula1>IF(OR(H22=TRUE, H23=TRUE, H24=TRUE, H25=TRUE), H26=FALSE, TRUE)</formula1>
    </dataValidation>
    <dataValidation type="custom" showInputMessage="1" showErrorMessage="1" sqref="H23" xr:uid="{98C61BCE-755A-47DC-814B-18797D932240}">
      <formula1>IF(H26=TRUE, FALSE, TRUE)</formula1>
    </dataValidation>
    <dataValidation type="custom" showInputMessage="1" showErrorMessage="1" sqref="H11" xr:uid="{8A01336C-2998-40B9-9A10-C1CACA56A005}">
      <formula1>IF(H16=TRUE, FALSE, TRUE)</formula1>
    </dataValidation>
    <dataValidation type="custom" showInputMessage="1" showErrorMessage="1" sqref="H5 H10 H30" xr:uid="{5251F65C-302B-430B-9A74-3504B0782C15}">
      <formula1>OR(H5=TRUE,H5=FALSE)</formula1>
    </dataValidation>
    <dataValidation type="custom" allowBlank="1" showInputMessage="1" showErrorMessage="1" sqref="H33" xr:uid="{E5944E2C-49E3-4DA6-B2BA-149B494EA43B}">
      <formula1>IF(AND(H31&lt;&gt;"",H32&lt;&gt;""),IF(OR(H31=0,H32=0),0,H31/H32),"-")</formula1>
    </dataValidation>
  </dataValidations>
  <hyperlinks>
    <hyperlink ref="B31" r:id="rId1" location="id-430" display="242-244" xr:uid="{DD9DFEB0-008E-4085-9C4C-4E4071AF9EDD}"/>
    <hyperlink ref="C4" r:id="rId2" location="id-390" display="206-209" xr:uid="{9E36270B-F82E-4DBC-85F6-FFB6017A5FC6}"/>
    <hyperlink ref="C3" r:id="rId3" location="id-101" display="https://xbrl.efrag.org/e-esrs/2024-12-17-efrag-vsme.xhtml - id-101" xr:uid="{E98F2C39-CB33-456F-AE8F-63B2283FA058}"/>
    <hyperlink ref="A12" r:id="rId4" xr:uid="{0657DA08-490E-4BA8-8E5A-A36584CC3868}"/>
    <hyperlink ref="A13" r:id="rId5" xr:uid="{34F4B8AF-2DEE-4167-9575-E492545D940D}"/>
    <hyperlink ref="A14" r:id="rId6" xr:uid="{541F1F99-604B-4056-85A4-099A07C87266}"/>
    <hyperlink ref="A18" r:id="rId7" xr:uid="{4AC2196A-CAEA-4FA3-9EE0-453860A4DD24}"/>
    <hyperlink ref="A31" r:id="rId8" location="id-157" display="https://xbrl.efrag.org/e-esrs/2024-12-17-efrag-vsme.xhtml - id-157" xr:uid="{AB8591A9-7AF3-4FBD-9554-A2D0FD1D20C3}"/>
    <hyperlink ref="B27" r:id="rId9" display="https://xbrl.efrag.org/eng/interactive/vsme/vsme-guidance-annex-ii/2025-07-30-ec-rec/177/d" xr:uid="{B64DA43C-EDC4-4406-A04F-550966F14887}"/>
    <hyperlink ref="B22" r:id="rId10" xr:uid="{E5160077-4F36-4BD8-86FA-2A762B90A522}"/>
    <hyperlink ref="B23" r:id="rId11" xr:uid="{0E47DDD5-A5AE-41A4-AD9E-E64EED2C77D7}"/>
    <hyperlink ref="B24" r:id="rId12" xr:uid="{B18FB860-026E-41ED-B82E-7CB596B0F07E}"/>
    <hyperlink ref="B25" r:id="rId13" xr:uid="{A3D72F7C-F915-4130-AEEB-2CB05E19F60B}"/>
    <hyperlink ref="C37" r:id="rId14" location="id-30" display="https://xbrl.efrag.org/e-esrs/2024-12-17-efrag-vsme.xhtml - id-30" xr:uid="{99043B26-ADF0-4E30-AC4D-749B87744438}"/>
    <hyperlink ref="B12" r:id="rId15" xr:uid="{C547DB8C-D923-4FC7-B0DA-200463B84266}"/>
    <hyperlink ref="C3:H3" r:id="rId16" display="https://xbrl.efrag.org/eng/interactive/vsme/vsme-standard-annex-i/2025-07-30-ec-rec/43" xr:uid="{8E69E904-2158-45DA-8E87-545567ADAFB8}"/>
    <hyperlink ref="A22" r:id="rId17" display="https://xbrl.efrag.org/eng/interactive/vsme/vsme-standard-annex-i/2025-07-30-ec-rec/64" xr:uid="{5CC0C52C-701F-4C24-AACA-7DB3E2B7C53F}"/>
    <hyperlink ref="A27" r:id="rId18" display="https://knowledgehub.efrag.org/eng/interactive/vsme/vsme-standard-annex-i/08-2025/64" xr:uid="{724278DE-6E8B-4360-AAB9-2ED66C951948}"/>
    <hyperlink ref="A31:A33" r:id="rId19" display="https://xbrl.efrag.org/eng/interactive/vsme/vsme-standard-annex-i/2025-07-30-ec-rec/65" xr:uid="{9070A05F-DC67-4659-81DD-132C9C2BA611}"/>
    <hyperlink ref="C37:H37" r:id="rId20" display="https://xbrl.efrag.org/eng/interactive/vsme/vsme-standard-annex-i/2025-07-30-ec-rec/10" xr:uid="{BD96F830-5D6E-4EF6-9EAF-E4DAA73B73F5}"/>
    <hyperlink ref="C4:H4" r:id="rId21" display="141-144" xr:uid="{6FFA3630-37AF-4071-B63B-404038FAC63F}"/>
    <hyperlink ref="B31:B33" r:id="rId22" display="178-180" xr:uid="{89CF752E-5362-4309-9A24-AD8C8789890E}"/>
    <hyperlink ref="A15" r:id="rId23" xr:uid="{073C81B9-1885-48FA-9E75-28880E61B0A9}"/>
    <hyperlink ref="A16" r:id="rId24" xr:uid="{1B936E07-80D2-47D5-9091-AB194A562D4D}"/>
    <hyperlink ref="A17" r:id="rId25" xr:uid="{B69C0BC5-A56C-4B02-9921-C53A808E764B}"/>
    <hyperlink ref="A23" r:id="rId26" display="https://xbrl.efrag.org/eng/interactive/vsme/vsme-standard-annex-i/2025-07-30-ec-rec/64" xr:uid="{C4AC7567-B964-4726-8BFF-AEA5BB03CAB3}"/>
    <hyperlink ref="A24" r:id="rId27" display="https://xbrl.efrag.org/eng/interactive/vsme/vsme-standard-annex-i/2025-07-30-ec-rec/64" xr:uid="{FFEBF35D-5B17-42E8-A73D-1F26F1CED663}"/>
    <hyperlink ref="A25" r:id="rId28" display="https://xbrl.efrag.org/eng/interactive/vsme/vsme-standard-annex-i/2025-07-30-ec-rec/64" xr:uid="{67C796DF-1FD2-47BD-B258-0FD093CD5FBF}"/>
    <hyperlink ref="B18" r:id="rId29" xr:uid="{D4451976-2969-48FF-9E0B-D9A0A9835D74}"/>
    <hyperlink ref="B13" r:id="rId30" xr:uid="{48F51859-290F-45BF-A7FE-422787BE7549}"/>
    <hyperlink ref="B14" r:id="rId31" xr:uid="{12167B16-5419-427A-893E-04779325209E}"/>
    <hyperlink ref="B15" r:id="rId32" xr:uid="{CE1F8DFF-BEB6-4D39-8747-A4B16A9BB309}"/>
    <hyperlink ref="B16" r:id="rId33" xr:uid="{0F02BE95-5B98-48E2-82DA-BBFCFCDE6839}"/>
    <hyperlink ref="B17" r:id="rId34" xr:uid="{C1E3A1CF-806D-43F5-A9B9-54080D190D44}"/>
  </hyperlinks>
  <pageMargins left="0.7" right="0.7" top="0.75" bottom="0.75" header="0.3" footer="0.3"/>
  <drawing r:id="rId35"/>
  <extLst>
    <ext xmlns:x14="http://schemas.microsoft.com/office/spreadsheetml/2009/9/main" uri="{78C0D931-6437-407d-A8EE-F0AAD7539E65}">
      <x14:conditionalFormattings>
        <x14:conditionalFormatting xmlns:xm="http://schemas.microsoft.com/office/excel/2006/main">
          <x14:cfRule type="iconSet" priority="16" id="{3E49E481-2568-46BD-8EBE-FE7713E3A7A2}">
            <x14:iconSet iconSet="3Symbols" custom="1">
              <x14:cfvo type="percent">
                <xm:f>0</xm:f>
              </x14:cfvo>
              <x14:cfvo type="formula">
                <xm:f>$H$22=FALSE</xm:f>
              </x14:cfvo>
              <x14:cfvo type="formula">
                <xm:f>$H$22=TRUE</xm:f>
              </x14:cfvo>
              <x14:cfIcon iconSet="3Symbols" iconId="0"/>
              <x14:cfIcon iconSet="3Symbols" iconId="0"/>
              <x14:cfIcon iconSet="3Symbols" iconId="2"/>
            </x14:iconSet>
          </x14:cfRule>
          <xm:sqref>I22</xm:sqref>
        </x14:conditionalFormatting>
      </x14:conditionalFormattings>
    </ext>
    <ext xmlns:x14="http://schemas.microsoft.com/office/spreadsheetml/2009/9/main" uri="{CCE6A557-97BC-4b89-ADB6-D9C93CAAB3DF}">
      <x14:dataValidations xmlns:xm="http://schemas.microsoft.com/office/excel/2006/main" count="2">
        <x14:dataValidation type="custom" showInputMessage="1" showErrorMessage="1" xr:uid="{B00077E6-D227-4F5B-A4C9-0C9DBAF0147A}">
          <x14:formula1>
            <xm:f>($H$12+$H$13+$H$14+$H$18)&lt;='General Information'!$E$61</xm:f>
          </x14:formula1>
          <xm:sqref>H17</xm:sqref>
        </x14:dataValidation>
        <x14:dataValidation type="custom" showInputMessage="1" showErrorMessage="1" xr:uid="{F6328591-2F0B-4688-A58B-FE2019B26C27}">
          <x14:formula1>
            <xm:f>($H$12+$H$13+$H$14+$H$15+$H$16+$H$18)&lt;='General Information'!$E$61</xm:f>
          </x14:formula1>
          <xm:sqref>H18 H12:H16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131E5-D03B-4AF1-8F75-04B53721BB24}">
  <sheetPr codeName="Sheet6"/>
  <dimension ref="A1:BA140"/>
  <sheetViews>
    <sheetView zoomScaleNormal="100" workbookViewId="0"/>
  </sheetViews>
  <sheetFormatPr defaultColWidth="9.36328125" defaultRowHeight="14.5" x14ac:dyDescent="0.35"/>
  <cols>
    <col min="1" max="1" width="28.54296875" bestFit="1" customWidth="1"/>
    <col min="2" max="2" width="32.453125" customWidth="1"/>
    <col min="3" max="3" width="19.6328125" style="10" bestFit="1" customWidth="1"/>
    <col min="4" max="4" width="17.6328125" style="10" bestFit="1" customWidth="1"/>
    <col min="5" max="5" width="21.36328125" style="10" bestFit="1" customWidth="1"/>
    <col min="6" max="6" width="24.08984375" style="10" bestFit="1" customWidth="1"/>
    <col min="7" max="7" width="59.453125" style="10" customWidth="1"/>
    <col min="8" max="8" width="10.6328125" style="10" customWidth="1"/>
    <col min="9" max="9" width="20.54296875" style="10" customWidth="1"/>
    <col min="10" max="10" width="23.54296875" style="10" customWidth="1"/>
    <col min="11" max="11" width="14.6328125" style="10" customWidth="1"/>
    <col min="12" max="12" width="24.54296875" style="10" customWidth="1"/>
    <col min="13" max="13" width="25" style="10" customWidth="1"/>
    <col min="14" max="14" width="67.54296875" style="10" hidden="1" customWidth="1"/>
    <col min="15" max="15" width="24.36328125" style="10" hidden="1" customWidth="1"/>
    <col min="16" max="16" width="24.54296875" style="10" hidden="1" customWidth="1"/>
    <col min="17" max="17" width="25" style="10" hidden="1" customWidth="1"/>
    <col min="18" max="18" width="62.36328125" style="10" hidden="1" customWidth="1"/>
    <col min="19" max="19" width="22.6328125" style="10" hidden="1" customWidth="1"/>
    <col min="20" max="20" width="24.54296875" style="10" hidden="1" customWidth="1"/>
    <col min="21" max="21" width="25" style="10" hidden="1" customWidth="1"/>
    <col min="22" max="22" width="34.54296875" style="10" hidden="1" customWidth="1"/>
    <col min="23" max="23" width="23.54296875" style="10" hidden="1" customWidth="1"/>
    <col min="24" max="24" width="24.54296875" style="10" hidden="1" customWidth="1"/>
    <col min="25" max="25" width="25" style="10" hidden="1" customWidth="1"/>
    <col min="26" max="26" width="33.54296875" style="10" hidden="1" customWidth="1"/>
    <col min="27" max="27" width="30.54296875" style="10" hidden="1" customWidth="1"/>
    <col min="28" max="28" width="41.36328125" style="10" hidden="1" customWidth="1"/>
    <col min="29" max="29" width="25" style="10" hidden="1" customWidth="1"/>
    <col min="30" max="30" width="46.453125" style="10" hidden="1" customWidth="1"/>
    <col min="31" max="31" width="27" style="10" hidden="1" customWidth="1"/>
    <col min="32" max="32" width="33.90625" style="10" hidden="1" customWidth="1"/>
    <col min="33" max="33" width="25" style="10" hidden="1" customWidth="1"/>
    <col min="34" max="34" width="42" style="10" hidden="1" customWidth="1"/>
    <col min="35" max="35" width="29.6328125" style="10" hidden="1" customWidth="1"/>
    <col min="36" max="36" width="31.36328125" style="10" hidden="1" customWidth="1"/>
    <col min="37" max="37" width="25" style="10" hidden="1" customWidth="1"/>
    <col min="38" max="38" width="39.6328125" hidden="1" customWidth="1"/>
    <col min="39" max="39" width="26" style="10" hidden="1" customWidth="1"/>
    <col min="40" max="40" width="24.54296875" hidden="1" customWidth="1"/>
    <col min="41" max="41" width="25" hidden="1" customWidth="1"/>
    <col min="42" max="42" width="42.453125" hidden="1" customWidth="1"/>
    <col min="43" max="43" width="29.90625" style="10" hidden="1" customWidth="1"/>
    <col min="44" max="44" width="38.6328125" style="10" hidden="1" customWidth="1"/>
    <col min="45" max="45" width="25" style="10" hidden="1" customWidth="1"/>
    <col min="46" max="46" width="45.6328125" style="10" hidden="1" customWidth="1"/>
    <col min="47" max="47" width="32.54296875" style="10" hidden="1" customWidth="1"/>
    <col min="48" max="48" width="38.453125" style="10" hidden="1" customWidth="1"/>
    <col min="49" max="49" width="24.6328125" style="10" hidden="1" customWidth="1"/>
    <col min="50" max="50" width="50.08984375" style="10" hidden="1" customWidth="1"/>
    <col min="51" max="51" width="28.08984375" style="10" hidden="1" customWidth="1"/>
    <col min="52" max="52" width="34.6328125" style="10" hidden="1" customWidth="1"/>
    <col min="53" max="53" width="21.453125" style="10" hidden="1" customWidth="1"/>
    <col min="54" max="16384" width="9.36328125" style="10"/>
  </cols>
  <sheetData>
    <row r="1" spans="1:53" ht="28.5" customHeight="1" thickTop="1" thickBot="1" x14ac:dyDescent="0.55000000000000004">
      <c r="A1" s="399" t="str">
        <f>template_label_fuel_converter</f>
        <v>FUEL CONVERTER</v>
      </c>
      <c r="B1" s="10"/>
      <c r="AL1" s="10"/>
      <c r="AN1" s="10"/>
      <c r="AO1" s="10"/>
      <c r="AP1" s="10"/>
    </row>
    <row r="2" spans="1:53" ht="39.5" customHeight="1" thickTop="1" x14ac:dyDescent="0.5">
      <c r="A2" s="460" t="str">
        <f>template_label_disclaimer</f>
        <v>DISCLAIMER:</v>
      </c>
      <c r="B2" s="10"/>
      <c r="AL2" s="10"/>
      <c r="AN2" s="10"/>
      <c r="AO2" s="10"/>
      <c r="AP2" s="10"/>
    </row>
    <row r="3" spans="1:53" ht="54" customHeight="1" x14ac:dyDescent="0.5">
      <c r="A3" s="1118" t="str">
        <f>template_label_this_converter_is_intended_solely_to_illustrate_how_energy_consumption_in_mwh</f>
        <v>This converter is intended solely to illustrate how energy consumption (in MWh) can be calculated from various fuel types. EFRAG assumes no responsibility or liability for the content or for any direct, indirect, or incidental consequences or damages resulting from the use of this fuel converter.</v>
      </c>
      <c r="B3" s="1118"/>
      <c r="C3" s="1118"/>
      <c r="D3" s="1118"/>
      <c r="E3" s="1118"/>
      <c r="F3" s="1118"/>
      <c r="G3" s="1118"/>
      <c r="H3" s="1118"/>
      <c r="I3" s="1118"/>
      <c r="J3" s="1118"/>
      <c r="K3" s="1118"/>
      <c r="AL3" s="10"/>
      <c r="AN3" s="10"/>
      <c r="AO3" s="10"/>
      <c r="AP3" s="10"/>
    </row>
    <row r="4" spans="1:53" ht="44.5" customHeight="1" x14ac:dyDescent="0.5">
      <c r="A4" s="1118" t="str">
        <f>template_label_please_note_that_the_typical_values_for_net_calorific_value_and_density_are_provided_for_each_fuel_type</f>
        <v>Please note that the typical values for Net Calorific Value (NCV) and Density are provided for each fuel type. However, these parameters may vary depending on factors such as national regulations, specific characteristics of fuel providers, or other circumstances. Therefore, users are expected to manually enter or adjust the NCV and Density values to reflect their specific situation.</v>
      </c>
      <c r="B4" s="1118"/>
      <c r="C4" s="1118"/>
      <c r="D4" s="1118"/>
      <c r="E4" s="1118"/>
      <c r="F4" s="1118"/>
      <c r="G4" s="1118"/>
      <c r="H4" s="1118"/>
      <c r="I4" s="1118"/>
      <c r="J4" s="1118"/>
      <c r="K4" s="1118"/>
      <c r="AL4" s="10"/>
      <c r="AN4" s="10"/>
      <c r="AO4" s="10"/>
      <c r="AP4" s="10"/>
    </row>
    <row r="5" spans="1:53" ht="48.5" customHeight="1" thickBot="1" x14ac:dyDescent="0.55000000000000004">
      <c r="A5" s="1118" t="str">
        <f>template_label_additionally_users_are_encouraged_to_determine_the_renewability_status_of_each_fuel_based_on_guarantees_of_origin</f>
        <v>Additionally, users are encouraged to determine the renewability status of each fuel based on Guarantees of Origin, as outlined in Article 19 of the European Directive 2018/2001/EC on the promotion of the use of energy from renewable sources. The default renewability status provided for each fuel is a typical assumption and should be adjusted if necessary, based on geographical or individual circumstances.</v>
      </c>
      <c r="B5" s="1118"/>
      <c r="C5" s="1118"/>
      <c r="D5" s="1118"/>
      <c r="E5" s="1118"/>
      <c r="F5" s="1118"/>
      <c r="G5" s="1118"/>
      <c r="H5" s="1118"/>
      <c r="I5" s="1118"/>
      <c r="J5" s="1118"/>
      <c r="K5" s="1118"/>
      <c r="AL5" s="10"/>
      <c r="AN5" s="10"/>
      <c r="AO5" s="10"/>
      <c r="AP5" s="10"/>
    </row>
    <row r="6" spans="1:53" ht="35.4" customHeight="1" thickBot="1" x14ac:dyDescent="0.45">
      <c r="A6" s="402"/>
      <c r="B6" s="1137" t="str">
        <f>template_label_indicates_that_the_cell_should_be_filled_either_by_selecting_a_value_from_the_dropdown</f>
        <v>Indicates that the cell should be filled either by selecting a value from the dropdown (e.g. Type of fuel or Unit of Measurement) or by entering an amount.</v>
      </c>
      <c r="C6" s="1138"/>
      <c r="D6" s="1138"/>
      <c r="E6" s="1138"/>
      <c r="F6" s="1139"/>
      <c r="G6" s="403"/>
      <c r="H6" s="401"/>
      <c r="I6" s="401"/>
      <c r="J6" s="401"/>
      <c r="AL6" s="10"/>
      <c r="AN6" s="10"/>
      <c r="AO6" s="10"/>
      <c r="AP6" s="10"/>
    </row>
    <row r="7" spans="1:53" ht="44.4" customHeight="1" thickBot="1" x14ac:dyDescent="0.45">
      <c r="A7" s="404" t="s">
        <v>3539</v>
      </c>
      <c r="B7" s="1137" t="str">
        <f>template_label_indicates_that_the_cell_is_automatically_calculated_and_that_no_data_entry_is_required</f>
        <v>Indicates that the cell is automatically calculated and that no data entry is required.</v>
      </c>
      <c r="C7" s="1138"/>
      <c r="D7" s="1138"/>
      <c r="E7" s="1138"/>
      <c r="F7" s="1139"/>
      <c r="G7" s="403"/>
      <c r="H7" s="401"/>
      <c r="I7" s="401"/>
      <c r="J7" s="401"/>
      <c r="AL7" s="10"/>
      <c r="AN7" s="10"/>
      <c r="AO7" s="10"/>
      <c r="AP7" s="10"/>
    </row>
    <row r="8" spans="1:53" ht="40.25" customHeight="1" thickBot="1" x14ac:dyDescent="0.4">
      <c r="A8" s="400"/>
      <c r="B8" s="10"/>
      <c r="AC8" s="405"/>
      <c r="AL8" s="10"/>
      <c r="AN8" s="10"/>
      <c r="AO8" s="10"/>
      <c r="AP8" s="10"/>
    </row>
    <row r="9" spans="1:53" ht="15" thickBot="1" x14ac:dyDescent="0.4">
      <c r="A9" s="406" t="str">
        <f>template_label_fuel_type</f>
        <v>Fuel type</v>
      </c>
      <c r="B9" s="406" t="str">
        <f>template_label_unit_of_measurement</f>
        <v>Unit of measurement</v>
      </c>
      <c r="C9" s="407" t="str">
        <f>template_label_amount</f>
        <v>Amount</v>
      </c>
      <c r="D9" s="407" t="str">
        <f>template_label_state_of_matter</f>
        <v>State of matter</v>
      </c>
      <c r="E9" s="408" t="str">
        <f>template_label_typical_renewable_state</f>
        <v>Typical renewable state</v>
      </c>
      <c r="F9" s="408" t="str">
        <f>template_label_calculated_energy_in_mwh</f>
        <v>Calculated Energy in MWh</v>
      </c>
      <c r="I9" s="400" t="str">
        <f>template_label_usage_of_fuel_converter</f>
        <v>Usage of Fuel Converter:</v>
      </c>
      <c r="O9" s="409"/>
      <c r="P9" s="410"/>
      <c r="Q9" s="411"/>
      <c r="S9" s="409"/>
      <c r="T9" s="410"/>
      <c r="U9" s="411"/>
      <c r="W9" s="409"/>
      <c r="X9" s="410"/>
      <c r="Y9" s="411"/>
      <c r="AA9" s="409"/>
      <c r="AB9" s="410"/>
      <c r="AC9" s="411"/>
      <c r="AE9" s="409"/>
      <c r="AF9" s="410"/>
      <c r="AG9" s="411"/>
      <c r="AI9" s="409"/>
      <c r="AJ9" s="410"/>
      <c r="AK9" s="411"/>
      <c r="AL9" s="10"/>
      <c r="AM9" s="409"/>
      <c r="AN9" s="410"/>
      <c r="AO9" s="411"/>
      <c r="AP9" s="10"/>
      <c r="AQ9" s="409"/>
      <c r="AR9" s="410"/>
      <c r="AS9" s="411"/>
      <c r="AU9" s="409"/>
      <c r="AV9" s="410"/>
      <c r="AW9" s="411"/>
      <c r="AY9" s="409"/>
      <c r="AZ9" s="410"/>
      <c r="BA9" s="411"/>
    </row>
    <row r="10" spans="1:53" ht="15" thickBot="1" x14ac:dyDescent="0.4">
      <c r="A10" s="395"/>
      <c r="B10" s="395"/>
      <c r="C10" s="396"/>
      <c r="D10" s="412" t="str">
        <f>P11</f>
        <v>-</v>
      </c>
      <c r="E10" s="413" t="str">
        <f>P12</f>
        <v>-</v>
      </c>
      <c r="F10" s="414" t="str">
        <f>IF(C10="","-",O22)</f>
        <v>-</v>
      </c>
      <c r="G10" s="415" t="str">
        <f t="shared" ref="G10:G19" si="0">IF(AND(B10="", D10="Liquid"),
   template_label_liquid_warning,
IF(AND(OR(B10="m³ - cubic meters", B10="L - Liter"), D10="Liquid"),
   "",
IF(AND(OR(B10="Gg - Gigagram", B10="t - tonne", B10="Kg - Kilogram", B10="g - gram"), D10="Liquid"),
   template_label_liquid_warning,
IF(AND(B10="", D10="Gaseous"),
   template_label_gaseous_warning,
IF(AND(OR(B10="m³ - cubic meters", B10="L - Liter"), D10="Gaseous"),
   "",
IF(AND(OR(B10="Gg - Gigagram", B10="t - tonne", B10="Kg - Kilogram", B10="g - gram"), D10="Gaseous"),
   template_label_gaseous_warning,
IF(AND(B10="", D10="Solid"),
   template_label_solid_warning,
IF(AND(OR(B10="Gg - Gigagram", B10="t - tonne", B10="Kg - Kilogram", B10="g - gram"), D10="Solid"),
   "",
IF(AND(OR(B10="m³ - cubic meters", B10="L - Liter"), D10="Solid"),
   template_label_solid_warning,
"")))))))))</f>
        <v/>
      </c>
      <c r="I10" s="10" t="str">
        <f>template_label_1_in_cell_a9_select_the_fuel_used_searching_for_it_or_scrolling_down_the_list_displayed_clicking_the_cell</f>
        <v>1. In cell A9 select the Fuel used, searching for it or scrolling down the list displayed clicking the cell</v>
      </c>
      <c r="O10" s="416" t="s">
        <v>2926</v>
      </c>
      <c r="P10" s="417" t="str">
        <f>IF(A10="","-",A10)</f>
        <v>-</v>
      </c>
      <c r="Q10" s="418"/>
      <c r="S10" s="416" t="s">
        <v>2926</v>
      </c>
      <c r="T10" s="417" t="str">
        <f>IF(A11="","-",A11)</f>
        <v>-</v>
      </c>
      <c r="U10" s="418"/>
      <c r="W10" s="416" t="s">
        <v>2926</v>
      </c>
      <c r="X10" s="417" t="str">
        <f>IF(A12="","-",A12)</f>
        <v>-</v>
      </c>
      <c r="Y10" s="418"/>
      <c r="AA10" s="416" t="s">
        <v>2926</v>
      </c>
      <c r="AB10" s="417" t="str">
        <f>IF(A13="","-",A13)</f>
        <v>-</v>
      </c>
      <c r="AC10" s="418"/>
      <c r="AE10" s="416" t="s">
        <v>2926</v>
      </c>
      <c r="AF10" s="417" t="str">
        <f>IF(A14="","-",A14)</f>
        <v>-</v>
      </c>
      <c r="AG10" s="418"/>
      <c r="AI10" s="416" t="s">
        <v>2926</v>
      </c>
      <c r="AJ10" s="417" t="str">
        <f>IF(A15="","-",A15)</f>
        <v>-</v>
      </c>
      <c r="AK10" s="418"/>
      <c r="AL10" s="10"/>
      <c r="AM10" s="416" t="s">
        <v>2926</v>
      </c>
      <c r="AN10" s="417" t="str">
        <f>IF(A16="","-",A16)</f>
        <v>-</v>
      </c>
      <c r="AO10" s="418"/>
      <c r="AP10" s="10"/>
      <c r="AQ10" s="416" t="s">
        <v>2926</v>
      </c>
      <c r="AR10" s="417" t="str">
        <f>IF(A17="","-",A17)</f>
        <v>-</v>
      </c>
      <c r="AS10" s="418"/>
      <c r="AU10" s="416" t="s">
        <v>2926</v>
      </c>
      <c r="AV10" s="417" t="str">
        <f>IF(A18="","-",A18)</f>
        <v>-</v>
      </c>
      <c r="AW10" s="418"/>
      <c r="AY10" s="416" t="s">
        <v>2926</v>
      </c>
      <c r="AZ10" s="417" t="str">
        <f>IF(A19="","-",A19)</f>
        <v>-</v>
      </c>
      <c r="BA10" s="418"/>
    </row>
    <row r="11" spans="1:53" ht="15" thickBot="1" x14ac:dyDescent="0.4">
      <c r="A11" s="395"/>
      <c r="B11" s="395"/>
      <c r="C11" s="396"/>
      <c r="D11" s="419" t="str">
        <f>T11</f>
        <v>-</v>
      </c>
      <c r="E11" s="420" t="str">
        <f>T12</f>
        <v>-</v>
      </c>
      <c r="F11" s="413" t="str">
        <f>IF(C11="","-",S22)</f>
        <v>-</v>
      </c>
      <c r="G11" s="415" t="str">
        <f t="shared" si="0"/>
        <v/>
      </c>
      <c r="I11" s="10" t="str">
        <f>template_label_2_in_cell_b9_select_the_unit_of_measurement_used</f>
        <v>2. In cell B9 select the Unit of measurement used</v>
      </c>
      <c r="O11" s="416" t="s">
        <v>3019</v>
      </c>
      <c r="P11" s="404" t="str">
        <f>IF(OR(P10="", P10="-"), "-", IFERROR(IF(INDEX('Fuel Conversion Parameters'!$B$2:$B$61, MATCH(P10, 'Fuel Conversion Parameters'!$A$2:$A$61, 0))="", "MISSING VALUE", INDEX('Fuel Conversion Parameters'!$B$2:$B$61, MATCH(P10, 'Fuel Conversion Parameters'!$A$2:$A$61, 0))), "MISSING VALUE"))</f>
        <v>-</v>
      </c>
      <c r="Q11" s="418"/>
      <c r="S11" s="416" t="s">
        <v>3019</v>
      </c>
      <c r="T11" s="404" t="str">
        <f>IF(OR(T10="", T10="-"), "-", IFERROR(IF(INDEX('Fuel Conversion Parameters'!$B$2:$B$61, MATCH(T10, 'Fuel Conversion Parameters'!$A$2:$A$61, 0))="", "MISSING VALUE", INDEX('Fuel Conversion Parameters'!$B$2:$B$61, MATCH(T10, 'Fuel Conversion Parameters'!$A$2:$A$61, 0))), "MISSING VALUE"))</f>
        <v>-</v>
      </c>
      <c r="U11" s="418"/>
      <c r="W11" s="416" t="s">
        <v>3019</v>
      </c>
      <c r="X11" s="404" t="str">
        <f>IF(OR(X10="", X10="-"), "-", IFERROR(IF(INDEX('Fuel Conversion Parameters'!$B$2:$B$61, MATCH(X10, 'Fuel Conversion Parameters'!$A$2:$A$61, 0))="", "MISSING VALUE", INDEX('Fuel Conversion Parameters'!$B$2:$B$61, MATCH(X10, 'Fuel Conversion Parameters'!$A$2:$A$61, 0))), "MISSING VALUE"))</f>
        <v>-</v>
      </c>
      <c r="Y11" s="418"/>
      <c r="AA11" s="416" t="s">
        <v>3019</v>
      </c>
      <c r="AB11" s="404" t="str">
        <f>IF(OR(AB10="", AB10="-"), "-", IFERROR(IF(INDEX('Fuel Conversion Parameters'!$B$2:$B$61, MATCH(AB10, 'Fuel Conversion Parameters'!$A$2:$A$61, 0))="", "MISSING VALUE", INDEX('Fuel Conversion Parameters'!$B$2:$B$61, MATCH(AB10, 'Fuel Conversion Parameters'!$A$2:$A$61, 0))), "MISSING VALUE"))</f>
        <v>-</v>
      </c>
      <c r="AC11" s="418"/>
      <c r="AE11" s="416" t="s">
        <v>3019</v>
      </c>
      <c r="AF11" s="404" t="str">
        <f>IF(OR(AF10="", AF10="-"), "-", IFERROR(IF(INDEX('Fuel Conversion Parameters'!$B$2:$B$61, MATCH(AF10, 'Fuel Conversion Parameters'!$A$2:$A$61, 0))="", "MISSING VALUE", INDEX('Fuel Conversion Parameters'!$B$2:$B$61, MATCH(AF10, 'Fuel Conversion Parameters'!$A$2:$A$61, 0))), "MISSING VALUE"))</f>
        <v>-</v>
      </c>
      <c r="AG11" s="418"/>
      <c r="AI11" s="416" t="s">
        <v>3019</v>
      </c>
      <c r="AJ11" s="404" t="str">
        <f>IF(OR(AJ10="", AJ10="-"), "-", IFERROR(IF(INDEX('Fuel Conversion Parameters'!$B$2:$B$61, MATCH(AJ10, 'Fuel Conversion Parameters'!$A$2:$A$61, 0))="", "MISSING VALUE", INDEX('Fuel Conversion Parameters'!$B$2:$B$61, MATCH(AJ10, 'Fuel Conversion Parameters'!$A$2:$A$61, 0))), "MISSING VALUE"))</f>
        <v>-</v>
      </c>
      <c r="AK11" s="418"/>
      <c r="AL11" s="10"/>
      <c r="AM11" s="416" t="s">
        <v>3019</v>
      </c>
      <c r="AN11" s="404" t="str">
        <f>IF(OR(AN10="", AN10="-"), "-", IFERROR(IF(INDEX('Fuel Conversion Parameters'!$B$2:$B$61, MATCH(AN10, 'Fuel Conversion Parameters'!$A$2:$A$61, 0))="", "MISSING VALUE", INDEX('Fuel Conversion Parameters'!$B$2:$B$61, MATCH(AN10, 'Fuel Conversion Parameters'!$A$2:$A$61, 0))), "MISSING VALUE"))</f>
        <v>-</v>
      </c>
      <c r="AO11" s="418"/>
      <c r="AP11" s="10"/>
      <c r="AQ11" s="416" t="s">
        <v>3019</v>
      </c>
      <c r="AR11" s="404" t="str">
        <f>IF(OR(AR10="", AR10="-"), "-", IFERROR(IF(INDEX('Fuel Conversion Parameters'!$B$2:$B$61, MATCH(AR10, 'Fuel Conversion Parameters'!$A$2:$A$61, 0))="", "MISSING VALUE", INDEX('Fuel Conversion Parameters'!$B$2:$B$61, MATCH(AR10, 'Fuel Conversion Parameters'!$A$2:$A$61, 0))), "MISSING VALUE"))</f>
        <v>-</v>
      </c>
      <c r="AS11" s="418"/>
      <c r="AU11" s="416" t="s">
        <v>3019</v>
      </c>
      <c r="AV11" s="404" t="str">
        <f>IF(OR(AV10="", AV10="-"), "-", IFERROR(IF(INDEX('Fuel Conversion Parameters'!$B$2:$B$61, MATCH(AV10, 'Fuel Conversion Parameters'!$A$2:$A$61, 0))="", "MISSING VALUE", INDEX('Fuel Conversion Parameters'!$B$2:$B$61, MATCH(AV10, 'Fuel Conversion Parameters'!$A$2:$A$61, 0))), "MISSING VALUE"))</f>
        <v>-</v>
      </c>
      <c r="AW11" s="418"/>
      <c r="AY11" s="416" t="s">
        <v>3019</v>
      </c>
      <c r="AZ11" s="404" t="str">
        <f>IF(OR(AZ10="", AZ10="-"), "-", IFERROR(IF(INDEX('Fuel Conversion Parameters'!$B$2:$B$61, MATCH(AZ10, 'Fuel Conversion Parameters'!$A$2:$A$61, 0))="", "MISSING VALUE", INDEX('Fuel Conversion Parameters'!$B$2:$B$61, MATCH(AZ10, 'Fuel Conversion Parameters'!$A$2:$A$61, 0))), "MISSING VALUE"))</f>
        <v>-</v>
      </c>
      <c r="BA11" s="418"/>
    </row>
    <row r="12" spans="1:53" ht="15" thickBot="1" x14ac:dyDescent="0.4">
      <c r="A12" s="395"/>
      <c r="B12" s="395"/>
      <c r="C12" s="396"/>
      <c r="D12" s="419" t="str">
        <f>X11</f>
        <v>-</v>
      </c>
      <c r="E12" s="420" t="str">
        <f>X12</f>
        <v>-</v>
      </c>
      <c r="F12" s="413" t="str">
        <f>IF(C12="","-",W22)</f>
        <v>-</v>
      </c>
      <c r="G12" s="415" t="str">
        <f t="shared" si="0"/>
        <v/>
      </c>
      <c r="I12" s="10" t="str">
        <f>template_label_3_in_cell_c9_select_the_amount_of_fuel_used</f>
        <v>3. In cell C9 select the Amount of fuel used</v>
      </c>
      <c r="O12" s="406" t="s">
        <v>3578</v>
      </c>
      <c r="P12" s="404" t="str">
        <f>IF(OR(P10="", P10="-"), "-", IFERROR(IF(INDEX('Fuel Conversion Parameters'!$F$2:$F$61, MATCH(P10, 'Fuel Conversion Parameters'!$A$2:$A$61, 0))="", "MISSING VALUE", INDEX('Fuel Conversion Parameters'!$F$2:$F$61, MATCH(P10, 'Fuel Conversion Parameters'!$A$2:$A$61, 0))), "MISSING VALUE"))</f>
        <v>-</v>
      </c>
      <c r="Q12" s="418"/>
      <c r="S12" s="416" t="s">
        <v>3578</v>
      </c>
      <c r="T12" s="404" t="str">
        <f>IF(OR(T10="", T10="-"), "-", IFERROR(IF(INDEX('Fuel Conversion Parameters'!$F$2:$F$61, MATCH(T10, 'Fuel Conversion Parameters'!$A$2:$A$61, 0))="", "MISSING VALUE", INDEX('Fuel Conversion Parameters'!$F$2:$F$61, MATCH(T10, 'Fuel Conversion Parameters'!$A$2:$A$61, 0))), "MISSING VALUE"))</f>
        <v>-</v>
      </c>
      <c r="U12" s="418"/>
      <c r="W12" s="416" t="s">
        <v>3578</v>
      </c>
      <c r="X12" s="404" t="str">
        <f>IF(OR(X10="", X10="-"), "-", IFERROR(IF(INDEX('Fuel Conversion Parameters'!$F$2:$F$61, MATCH(X10, 'Fuel Conversion Parameters'!$A$2:$A$61, 0))="", "MISSING VALUE", INDEX('Fuel Conversion Parameters'!$F$2:$F$61, MATCH(X10, 'Fuel Conversion Parameters'!$A$2:$A$61, 0))), "MISSING VALUE"))</f>
        <v>-</v>
      </c>
      <c r="Y12" s="418"/>
      <c r="AA12" s="406" t="s">
        <v>3578</v>
      </c>
      <c r="AB12" s="404" t="str">
        <f>IF(OR(AB10="", AB10="-"), "-", IFERROR(IF(INDEX('Fuel Conversion Parameters'!$F$2:$F$61, MATCH(AB10, 'Fuel Conversion Parameters'!$A$2:$A$61, 0))="", "MISSING VALUE", INDEX('Fuel Conversion Parameters'!$F$2:$F$61, MATCH(AB10, 'Fuel Conversion Parameters'!$A$2:$A$61, 0))), "MISSING VALUE"))</f>
        <v>-</v>
      </c>
      <c r="AC12" s="418"/>
      <c r="AE12" s="406" t="s">
        <v>3578</v>
      </c>
      <c r="AF12" s="404" t="str">
        <f>IF(OR(AF10="", AF10="-"), "-", IFERROR(IF(INDEX('Fuel Conversion Parameters'!$F$2:$F$61, MATCH(AF10, 'Fuel Conversion Parameters'!$A$2:$A$61, 0))="", "MISSING VALUE", INDEX('Fuel Conversion Parameters'!$F$2:$F$61, MATCH(AF10, 'Fuel Conversion Parameters'!$A$2:$A$61, 0))), "MISSING VALUE"))</f>
        <v>-</v>
      </c>
      <c r="AG12" s="418"/>
      <c r="AI12" s="406" t="s">
        <v>3578</v>
      </c>
      <c r="AJ12" s="404" t="str">
        <f>IF(OR(AJ10="", AJ10="-"), "-", IFERROR(IF(INDEX('Fuel Conversion Parameters'!$F$2:$F$61, MATCH(AJ10, 'Fuel Conversion Parameters'!$A$2:$A$61, 0))="", "MISSING VALUE", INDEX('Fuel Conversion Parameters'!$F$2:$F$61, MATCH(AJ10, 'Fuel Conversion Parameters'!$A$2:$A$61, 0))), "MISSING VALUE"))</f>
        <v>-</v>
      </c>
      <c r="AK12" s="418"/>
      <c r="AL12" s="10"/>
      <c r="AM12" s="406" t="s">
        <v>3578</v>
      </c>
      <c r="AN12" s="404" t="str">
        <f>IF(OR(AN10="", AN10="-"), "-", IFERROR(IF(INDEX('Fuel Conversion Parameters'!$F$2:$F$61, MATCH(AN10, 'Fuel Conversion Parameters'!$A$2:$A$61, 0))="", "MISSING VALUE", INDEX('Fuel Conversion Parameters'!$F$2:$F$61, MATCH(AN10, 'Fuel Conversion Parameters'!$A$2:$A$61, 0))), "MISSING VALUE"))</f>
        <v>-</v>
      </c>
      <c r="AO12" s="418"/>
      <c r="AP12" s="10"/>
      <c r="AQ12" s="406" t="s">
        <v>3578</v>
      </c>
      <c r="AR12" s="404" t="str">
        <f>IF(OR(AR10="", AR10="-"), "-", IFERROR(IF(INDEX('Fuel Conversion Parameters'!$F$2:$F$61, MATCH(AR10, 'Fuel Conversion Parameters'!$A$2:$A$61, 0))="", "MISSING VALUE", INDEX('Fuel Conversion Parameters'!$F$2:$F$61, MATCH(AR10, 'Fuel Conversion Parameters'!$A$2:$A$61, 0))), "MISSING VALUE"))</f>
        <v>-</v>
      </c>
      <c r="AS12" s="418"/>
      <c r="AU12" s="406" t="s">
        <v>3578</v>
      </c>
      <c r="AV12" s="404" t="str">
        <f>IF(OR(AV10="", AV10="-"), "-", IFERROR(IF(INDEX('Fuel Conversion Parameters'!$F$2:$F$61, MATCH(AV10, 'Fuel Conversion Parameters'!$A$2:$A$61, 0))="", "MISSING VALUE", INDEX('Fuel Conversion Parameters'!$F$2:$F$61, MATCH(AV10, 'Fuel Conversion Parameters'!$A$2:$A$61, 0))), "MISSING VALUE"))</f>
        <v>-</v>
      </c>
      <c r="AW12" s="418"/>
      <c r="AY12" s="406" t="s">
        <v>3578</v>
      </c>
      <c r="AZ12" s="404" t="str">
        <f>IF(OR(AZ10="", AZ10="-"), "-", IFERROR(IF(INDEX('Fuel Conversion Parameters'!$F$2:$F$61, MATCH(AZ10, 'Fuel Conversion Parameters'!$A$2:$A$61, 0))="", "MISSING VALUE", INDEX('Fuel Conversion Parameters'!$F$2:$F$61, MATCH(AZ10, 'Fuel Conversion Parameters'!$A$2:$A$61, 0))), "MISSING VALUE"))</f>
        <v>-</v>
      </c>
      <c r="BA12" s="418"/>
    </row>
    <row r="13" spans="1:53" x14ac:dyDescent="0.35">
      <c r="A13" s="395"/>
      <c r="B13" s="395"/>
      <c r="C13" s="396"/>
      <c r="D13" s="419" t="str">
        <f>AB11</f>
        <v>-</v>
      </c>
      <c r="E13" s="420" t="str">
        <f>AB12</f>
        <v>-</v>
      </c>
      <c r="F13" s="413" t="str">
        <f>IF(C13="","-",AA22)</f>
        <v>-</v>
      </c>
      <c r="G13" s="415" t="str">
        <f t="shared" si="0"/>
        <v/>
      </c>
      <c r="I13" s="10" t="str">
        <f>template_label_4_in_cell_d9_it_is_displayed_the_state_of_matter_for_the_fuel_selected</f>
        <v>4. In cell D9 it is displayed the State of matter for the Fuel selected</v>
      </c>
      <c r="O13" s="421"/>
      <c r="P13" s="19"/>
      <c r="Q13" s="418"/>
      <c r="S13" s="421"/>
      <c r="T13" s="19"/>
      <c r="U13" s="418"/>
      <c r="W13" s="421"/>
      <c r="X13" s="19"/>
      <c r="Y13" s="418"/>
      <c r="AA13" s="421"/>
      <c r="AB13" s="19"/>
      <c r="AC13" s="418"/>
      <c r="AE13" s="421"/>
      <c r="AF13" s="19"/>
      <c r="AG13" s="418"/>
      <c r="AI13" s="421"/>
      <c r="AJ13" s="19"/>
      <c r="AK13" s="418"/>
      <c r="AL13" s="10"/>
      <c r="AM13" s="421"/>
      <c r="AN13" s="19"/>
      <c r="AO13" s="418"/>
      <c r="AP13" s="10"/>
      <c r="AQ13" s="421"/>
      <c r="AR13" s="19"/>
      <c r="AS13" s="418"/>
      <c r="AU13" s="421"/>
      <c r="AV13" s="19"/>
      <c r="AW13" s="418"/>
      <c r="AY13" s="421"/>
      <c r="AZ13" s="19"/>
      <c r="BA13" s="418"/>
    </row>
    <row r="14" spans="1:53" x14ac:dyDescent="0.35">
      <c r="A14" s="395"/>
      <c r="B14" s="395"/>
      <c r="C14" s="396"/>
      <c r="D14" s="419" t="str">
        <f>AF11</f>
        <v>-</v>
      </c>
      <c r="E14" s="420" t="str">
        <f>AF12</f>
        <v>-</v>
      </c>
      <c r="F14" s="413" t="str">
        <f>IF(C14="","-",AE22)</f>
        <v>-</v>
      </c>
      <c r="G14" s="415" t="str">
        <f t="shared" si="0"/>
        <v/>
      </c>
      <c r="I14" s="10" t="str">
        <f>template_label_5_in_cell_e9_it_is_displayed_the_typical_renewability_state_for_the_fuel_selected</f>
        <v>5. In cell E9 it is displayed the Typical renewability state for the Fuel selected</v>
      </c>
      <c r="O14" s="422"/>
      <c r="Q14" s="418"/>
      <c r="S14" s="422"/>
      <c r="U14" s="418"/>
      <c r="W14" s="422"/>
      <c r="Y14" s="418"/>
      <c r="AA14" s="422"/>
      <c r="AC14" s="418"/>
      <c r="AE14" s="422"/>
      <c r="AG14" s="418"/>
      <c r="AI14" s="422"/>
      <c r="AK14" s="418"/>
      <c r="AL14" s="10"/>
      <c r="AM14" s="422"/>
      <c r="AN14" s="10"/>
      <c r="AO14" s="418"/>
      <c r="AP14" s="10"/>
      <c r="AQ14" s="422"/>
      <c r="AS14" s="418"/>
      <c r="AU14" s="422"/>
      <c r="AW14" s="418"/>
      <c r="AY14" s="422"/>
      <c r="BA14" s="418"/>
    </row>
    <row r="15" spans="1:53" ht="15" thickBot="1" x14ac:dyDescent="0.4">
      <c r="A15" s="395"/>
      <c r="B15" s="395"/>
      <c r="C15" s="396"/>
      <c r="D15" s="419" t="str">
        <f>AJ11</f>
        <v>-</v>
      </c>
      <c r="E15" s="420" t="str">
        <f>AJ12</f>
        <v>-</v>
      </c>
      <c r="F15" s="413" t="str">
        <f>IF(C15="","-",AI22)</f>
        <v>-</v>
      </c>
      <c r="G15" s="415" t="str">
        <f t="shared" si="0"/>
        <v/>
      </c>
      <c r="I15" s="10" t="str">
        <f>template_label_6_in_cell_f9_is_displayed_the_energy_produced_in_mega_watt_hours_by_the_amount_of_fuel_specified</f>
        <v>6. In cell F9 is displayed the Energy produced in Mega Watt hours by the Amount of Fuel specified</v>
      </c>
      <c r="O15" s="423"/>
      <c r="Q15" s="418"/>
      <c r="S15" s="423"/>
      <c r="U15" s="418"/>
      <c r="W15" s="422"/>
      <c r="Y15" s="418"/>
      <c r="AA15" s="422"/>
      <c r="AC15" s="418"/>
      <c r="AE15" s="422"/>
      <c r="AG15" s="418"/>
      <c r="AI15" s="422"/>
      <c r="AK15" s="418"/>
      <c r="AL15" s="10"/>
      <c r="AM15" s="422"/>
      <c r="AN15" s="10"/>
      <c r="AO15" s="418"/>
      <c r="AP15" s="10"/>
      <c r="AQ15" s="422"/>
      <c r="AS15" s="418"/>
      <c r="AU15" s="422"/>
      <c r="AW15" s="418"/>
      <c r="AY15" s="422"/>
      <c r="BA15" s="418"/>
    </row>
    <row r="16" spans="1:53" ht="15" thickBot="1" x14ac:dyDescent="0.4">
      <c r="A16" s="395"/>
      <c r="B16" s="395"/>
      <c r="C16" s="396"/>
      <c r="D16" s="419" t="str">
        <f>AN11</f>
        <v>-</v>
      </c>
      <c r="E16" s="420" t="str">
        <f>AN12</f>
        <v>-</v>
      </c>
      <c r="F16" s="413" t="str">
        <f>IF(C16="","-",AM22)</f>
        <v>-</v>
      </c>
      <c r="G16" s="415" t="str">
        <f t="shared" si="0"/>
        <v/>
      </c>
      <c r="I16" s="10" t="str">
        <f>template_label_7_in_cell_a28_is_displayed_the_total_energy_in_mega_watt_hours</f>
        <v>7. In cell A28 is displayed the Total Energy in Mega Watt hours</v>
      </c>
      <c r="O16" s="424" t="s">
        <v>2756</v>
      </c>
      <c r="P16" s="425">
        <f>B10</f>
        <v>0</v>
      </c>
      <c r="Q16" s="426" t="str">
        <f>IF(AND(P16="", P11="Liquid"),
   "Liquid fuel: please select one unit of measurement among m³ and L",
IF(AND(OR(P16="m³ - cubic meters", P16="L - Liter"), P11="Liquid"),
   "",
IF(AND(OR(P16="Gg - Gigagram", P16="t - tonne", P16="Kg - Kilogram", P16="g - gram"), P11="Liquid"),
   "Liquid fuel: please change unit of measurement, select one among m³ and L",
IF(AND(P16="", P11="Gaseous"),
   "Gaseous fuel: please select one unit of measurement among m³ and L",
IF(AND(OR(P16="m³ - cubic meters", P16="L - Liter"), P11="Gaseous"),
   "",
IF(AND(OR(P16="Gg - Gigagram", P16="t - tonne", P16="Kg - Kilogram", P16="g - gram"), P11="Gaseous"),
   "Gaseous fuel: please change unit of measurement, select one among m³ and L",
IF(AND(P16="", P11="Solid"),
   "Solid fuel: please select one unit of measurement among Gg, t, Kg and g",
IF(AND(OR(P16="Gg - Gigagram", P16="t - tonne", P16="Kg - Kilogram", P16="g - gram"), P11="Solid"),
   "",
IF(AND(OR(P16="m³ - cubic meters", P16="L - Liter"), P11="Solid"),
   "Solid fuel: please change unit of measurement, select one among Gg, t, Kg and g",
"")))))))))</f>
        <v/>
      </c>
      <c r="S16" s="424" t="s">
        <v>2756</v>
      </c>
      <c r="T16" s="425">
        <f>B11</f>
        <v>0</v>
      </c>
      <c r="U16" s="426" t="str">
        <f>IF(AND(T16="", T11="Liquid"),
   "Liquid fuel: please select one unit of measurement among m³ and L",
IF(AND(OR(T16="m³ - cubic meters", T16="L - Liter"), T11="Liquid"),
   "",
IF(AND(OR(T16="Gg - Gigagram", T16="t - tonne", T16="Kg - Kilogram", T16="g - gram"), T11="Liquid"),
   "Liquid fuel: please change unit of measurement, select one among m³ and L",
IF(AND(T16="", T11="Gaseous"),
   "Gaseous fuel: please select one unit of measurement among m³ and L",
IF(AND(OR(T16="m³ - cubic meters", T16="L - Liter"), T11="Gaseous"),
   "",
IF(AND(OR(T16="Gg - Gigagram", T16="t - tonne", T16="Kg - Kilogram", T16="g - gram"), T11="Gaseous"),
   "Gaseous fuel: please change unit of measurement, select one among m³ and L",
IF(AND(T16="", T11="Solid"),
   "Solid fuel: please select one unit of measurement among Gg, t, Kg and g",
IF(AND(OR(T16="Gg - Gigagram", T16="t - tonne", T16="Kg - Kilogram", T16="g - gram"), T11="Solid"),
   "",
IF(AND(OR(T16="m³ - cubic meters", T16="L - Liter"), T11="Solid"),
   "Solid fuel: please change unit of measurement, select one among Gg, t, Kg and g",
"")))))))))</f>
        <v/>
      </c>
      <c r="W16" s="424" t="s">
        <v>2756</v>
      </c>
      <c r="X16" s="425">
        <f>B12</f>
        <v>0</v>
      </c>
      <c r="Y16" s="418" t="str">
        <f>IF(AND(X16="", X11="Liquid"),
   "Liquid fuel: please select one unit of measurement among m³ and L",
IF(AND(OR(X16="m³ - cubic meters", X16="L - Liter"), X11="Liquid"),
   "",
IF(AND(OR(X16="Gg - Gigagram", X16="t - tonne", X16="Kg - Kilogram", X16="g - gram"), X11="Liquid"),
   "Liquid fuel: please change unit of measurement, select one among m³ and L",
IF(AND(X16="", X11="Gaseous"),
   "Gaseous fuel: please select one unit of measurement among m³ and L",
IF(AND(OR(X16="m³ - cubic meters", X16="L - Liter"), X11="Gaseous"),
   "",
IF(AND(OR(X16="Gg - Gigagram", X16="t - tonne", X16="Kg - Kilogram", X16="g - gram"), X11="Gaseous"),
   "Gaseous fuel: please change unit of measurement, select one among m³ and L",
IF(AND(X16="", X11="Solid"),
   "Solid fuel: please select one unit of measurement among Gg, t, Kg and g",
IF(AND(OR(X16="Gg - Gigagram", X16="t - tonne", X16="Kg - Kilogram", X16="g - gram"), X11="Solid"),
   "",
IF(AND(OR(X16="m³ - cubic meters", X16="L - Liter"), X11="Solid"),
   "Solid fuel: please change unit of measurement, select one among Gg, t, Kg and g",
"")))))))))</f>
        <v/>
      </c>
      <c r="AA16" s="424" t="s">
        <v>2756</v>
      </c>
      <c r="AB16" s="425">
        <f>B13</f>
        <v>0</v>
      </c>
      <c r="AC16" s="426" t="str">
        <f>IF(AND(AB16="", AB11="Liquid"),
   "Liquid fuel: please select one unit of measurement among m³ and L",
IF(AND(OR(AB16="m³ - cubic meters", AB16="L - Liter"), AB11="Liquid"),
   "",
IF(AND(OR(AB16="Gg - Gigagram", AB16="t - tonne", AB16="Kg - Kilogram", AB16="g - gram"), AB11="Liquid"),
   "Liquid fuel: please change unit of measurement, select one among m³ and L",
IF(AND(AB16="", AB11="Gaseous"),
   "Gaseous fuel: please select one unit of measurement among m³ and L",
IF(AND(OR(AB16="m³ - cubic meters", AB16="L - Liter"), AB11="Gaseous"),
   "",
IF(AND(OR(AB16="Gg - Gigagram", AB16="t - tonne", AB16="Kg - Kilogram", AB16="g - gram"), AB11="Gaseous"),
   "Gaseous fuel: please change unit of measurement, select one among m³ and L",
IF(AND(AB16="", AB11="Solid"),
   "Solid fuel: please select one unit of measurement among Gg, t, Kg and g",
IF(AND(OR(AB16="Gg - Gigagram", AB16="t - tonne", AB16="Kg - Kilogram", AB16="g - gram"), AB11="Solid"),
   "",
IF(AND(OR(AB16="m³ - cubic meters", AB16="L - Liter"), AB11="Solid"),
   "Solid fuel: please change unit of measurement, select one among Gg, t, Kg and g",
"")))))))))</f>
        <v/>
      </c>
      <c r="AE16" s="424" t="s">
        <v>2756</v>
      </c>
      <c r="AF16" s="425">
        <f>B14</f>
        <v>0</v>
      </c>
      <c r="AG16" s="426" t="str">
        <f>IF(AND(AF16="", AF11="Liquid"),
   "Liquid fuel: please select one unit of measurement among m³ and L",
IF(AND(OR(AF16="m³ - cubic meters", AF16="L - Liter"), AF11="Liquid"),
   "",
IF(AND(OR(AF16="Gg - Gigagram", AF16="t - tonne", AF16="Kg - Kilogram", AF16="g - gram"), AF11="Liquid"),
   "Liquid fuel: please change unit of measurement, select one among m³ and L",
IF(AND(AF16="", AF11="Gaseous"),
   "Gaseous fuel: please select one unit of measurement among m³ and L",
IF(AND(OR(AF16="m³ - cubic meters", AF16="L - Liter"), AF11="Gaseous"),
   "",
IF(AND(OR(AF16="Gg - Gigagram", AF16="t - tonne", AF16="Kg - Kilogram", AF16="g - gram"), AF11="Gaseous"),
   "Gaseous fuel: please change unit of measurement, select one among m³ and L",
IF(AND(AF16="", AF11="Solid"),
   "Solid fuel: please select one unit of measurement among Gg, t, Kg and g",
IF(AND(OR(AF16="Gg - Gigagram", AF16="t - tonne", AF16="Kg - Kilogram", AF16="g - gram"), AF11="Solid"),
   "",
IF(AND(OR(AF16="m³ - cubic meters", AF16="L - Liter"), AF11="Solid"),
   "Solid fuel: please change unit of measurement, select one among Gg, t, Kg and g",
"")))))))))</f>
        <v/>
      </c>
      <c r="AI16" s="424" t="s">
        <v>2756</v>
      </c>
      <c r="AJ16" s="425">
        <f>B15</f>
        <v>0</v>
      </c>
      <c r="AK16" s="426" t="str">
        <f>IF(AND(AJ16="", AJ11="Liquid"),
   "Liquid fuel: please select one unit of measurement among m³ and L",
IF(AND(OR(AJ16="m³ - cubic meters", AJ16="L - Liter"), AJ11="Liquid"),
   "",
IF(AND(OR(AJ16="Gg - Gigagram", AJ16="t - tonne", AJ16="Kg - Kilogram", AJ16="g - gram"), AJ11="Liquid"),
   "Liquid fuel: please change unit of measurement, select one among m³ and L",
IF(AND(AJ16="", AJ11="Gaseous"),
   "Gaseous fuel: please select one unit of measurement among m³ and L",
IF(AND(OR(AJ16="m³ - cubic meters", AJ16="L - Liter"), AJ11="Gaseous"),
   "",
IF(AND(OR(AJ16="Gg - Gigagram", AJ16="t - tonne", AJ16="Kg - Kilogram", AJ16="g - gram"), AJ11="Gaseous"),
   "Gaseous fuel: please change unit of measurement, select one among m³ and L",
IF(AND(AJ16="", AJ11="Solid"),
   "Solid fuel: please select one unit of measurement among Gg, t, Kg and g",
IF(AND(OR(AJ16="Gg - Gigagram", AJ16="t - tonne", AJ16="Kg - Kilogram", AJ16="g - gram"), AJ11="Solid"),
   "",
IF(AND(OR(AJ16="m³ - cubic meters", AJ16="L - Liter"), AJ11="Solid"),
   "Solid fuel: please change unit of measurement, select one among Gg, t, Kg and g",
"")))))))))</f>
        <v/>
      </c>
      <c r="AL16" s="10"/>
      <c r="AM16" s="424" t="s">
        <v>2756</v>
      </c>
      <c r="AN16" s="425">
        <f>B16</f>
        <v>0</v>
      </c>
      <c r="AO16" s="426" t="str">
        <f>IF(AND(AN16="", AN11="Liquid"),
   "Liquid fuel: please select one unit of measurement among m³ and L",
IF(AND(OR(AN16="m³ - cubic meters", AN16="L - Liter"), AN11="Liquid"),
   "",
IF(AND(OR(AN16="Gg - Gigagram", AN16="t - tonne", AN16="Kg - Kilogram", AN16="g - gram"), AN11="Liquid"),
   "Liquid fuel: please change unit of measurement, select one among m³ and L",
IF(AND(AN16="", AN11="Gaseous"),
   "Gaseous fuel: please select one unit of measurement among m³ and L",
IF(AND(OR(AN16="m³ - cubic meters", AN16="L - Liter"), AN11="Gaseous"),
   "",
IF(AND(OR(AN16="Gg - Gigagram", AN16="t - tonne", AN16="Kg - Kilogram", AN16="g - gram"), AN11="Gaseous"),
   "Gaseous fuel: please change unit of measurement, select one among m³ and L",
IF(AND(AN16="", AN11="Solid"),
   "Solid fuel: please select one unit of measurement among Gg, t, Kg and g",
IF(AND(OR(AN16="Gg - Gigagram", AN16="t - tonne", AN16="Kg - Kilogram", AN16="g - gram"), AN11="Solid"),
   "",
IF(AND(OR(AN16="m³ - cubic meters", AN16="L - Liter"), AN11="Solid"),
   "Solid fuel: please change unit of measurement, select one among Gg, t, Kg and g",
"")))))))))</f>
        <v/>
      </c>
      <c r="AP16" s="10"/>
      <c r="AQ16" s="424" t="s">
        <v>2756</v>
      </c>
      <c r="AR16" s="425">
        <f>B17</f>
        <v>0</v>
      </c>
      <c r="AS16" s="426" t="str">
        <f>IF(AND(AR16="", AR11="Liquid"),
   "Liquid fuel: please select one unit of measurement among m³ and L",
IF(AND(OR(AR16="m³ - cubic meters", AR16="L - Liter"), AR11="Liquid"),
   "",
IF(AND(OR(AR16="Gg - Gigagram", AR16="t - tonne", AR16="Kg - Kilogram", AR16="g - gram"), AR11="Liquid"),
   "Liquid fuel: please change unit of measurement, select one among m³ and L",
IF(AND(AR16="", AR11="Gaseous"),
   "Gaseous fuel: please select one unit of measurement among m³ and L",
IF(AND(OR(AR16="m³ - cubic meters", AR16="L - Liter"), AR11="Gaseous"),
   "",
IF(AND(OR(AR16="Gg - Gigagram", AR16="t - tonne", AR16="Kg - Kilogram", AR16="g - gram"), AR11="Gaseous"),
   "Gaseous fuel: please change unit of measurement, select one among m³ and L",
IF(AND(AR16="", AR11="Solid"),
   "Solid fuel: please select one unit of measurement among Gg, t, Kg and g",
IF(AND(OR(AR16="Gg - Gigagram", AR16="t - tonne", AR16="Kg - Kilogram", AR16="g - gram"), AR11="Solid"),
   "",
IF(AND(OR(AR16="m³ - cubic meters", AR16="L - Liter"), AR11="Solid"),
   "Solid fuel: please change unit of measurement, select one among Gg, t, Kg and g",
"")))))))))</f>
        <v/>
      </c>
      <c r="AU16" s="424" t="s">
        <v>2756</v>
      </c>
      <c r="AV16" s="425">
        <f>B18</f>
        <v>0</v>
      </c>
      <c r="AW16" s="426" t="str">
        <f>IF(AND(AV16="", AV11="Liquid"),
   "Liquid fuel: please select one unit of measurement among m³ and L",
IF(AND(OR(AV16="m³ - cubic meters", AV16="L - Liter"), AV11="Liquid"),
   "",
IF(AND(OR(AV16="Gg - Gigagram", AV16="t - tonne", AV16="Kg - Kilogram", AV16="g - gram"), AV11="Liquid"),
   "Liquid fuel: please change unit of measurement, select one among m³ and L",
IF(AND(AV16="", AV11="Gaseous"),
   "Gaseous fuel: please select one unit of measurement among m³ and L",
IF(AND(OR(AV16="m³ - cubic meters", AV16="L - Liter"), AV11="Gaseous"),
   "",
IF(AND(OR(AV16="Gg - Gigagram", AV16="t - tonne", AV16="Kg - Kilogram", AV16="g - gram"), AV11="Gaseous"),
   "Gaseous fuel: please change unit of measurement, select one among m³ and L",
IF(AND(AV16="", AV11="Solid"),
   "Solid fuel: please select one unit of measurement among Gg, t, Kg and g",
IF(AND(OR(AV16="Gg - Gigagram", AV16="t - tonne", AV16="Kg - Kilogram", AV16="g - gram"), AV11="Solid"),
   "",
IF(AND(OR(AV16="m³ - cubic meters", AV16="L - Liter"), AV11="Solid"),
   "Solid fuel: please change unit of measurement, select one among Gg, t, Kg and g",
"")))))))))</f>
        <v/>
      </c>
      <c r="AY16" s="424" t="s">
        <v>2756</v>
      </c>
      <c r="AZ16" s="425">
        <f>B19</f>
        <v>0</v>
      </c>
      <c r="BA16" s="426" t="str">
        <f>IF(AND(AZ16="", AZ11="Liquid"),
   "Liquid fuel: please select one unit of measurement among m³ and L",
IF(AND(OR(AZ16="m³ - cubic meters", AZ16="L - Liter"), AZ11="Liquid"),
   "",
IF(AND(OR(AZ16="Gg - Gigagram", AZ16="t - tonne", AZ16="Kg - Kilogram", AZ16="g - gram"), AZ11="Liquid"),
   "Liquid fuel: please change unit of measurement, select one among m³ and L",
IF(AND(AZ16="", AZ11="Gaseous"),
   "Gaseous fuel: please select one unit of measurement among m³ and L",
IF(AND(OR(AZ16="m³ - cubic meters", AZ16="L - Liter"), AZ11="Gaseous"),
   "",
IF(AND(OR(AZ16="Gg - Gigagram", AZ16="t - tonne", AZ16="Kg - Kilogram", AZ16="g - gram"), AZ11="Gaseous"),
   "Gaseous fuel: please change unit of measurement, select one among m³ and L",
IF(AND(AZ16="", AZ11="Solid"),
   "Solid fuel: please select one unit of measurement among Gg, t, Kg and g",
IF(AND(OR(AZ16="Gg - Gigagram", AZ16="t - tonne", AZ16="Kg - Kilogram", AZ16="g - gram"), AZ11="Solid"),
   "",
IF(AND(OR(AZ16="m³ - cubic meters", AZ16="L - Liter"), AZ11="Solid"),
   "Solid fuel: please change unit of measurement, select one among Gg, t, Kg and g",
"")))))))))</f>
        <v/>
      </c>
    </row>
    <row r="17" spans="1:53" ht="15" thickBot="1" x14ac:dyDescent="0.4">
      <c r="A17" s="395"/>
      <c r="B17" s="395"/>
      <c r="C17" s="396"/>
      <c r="D17" s="419" t="str">
        <f>AR11</f>
        <v>-</v>
      </c>
      <c r="E17" s="420" t="str">
        <f>AR12</f>
        <v>-</v>
      </c>
      <c r="F17" s="413" t="str">
        <f>IF(C17="","-",AQ22)</f>
        <v>-</v>
      </c>
      <c r="G17" s="415" t="str">
        <f t="shared" si="0"/>
        <v/>
      </c>
      <c r="I17" s="10" t="str">
        <f>template_label_8_in_cell_a31_is_displayed_the_total_renewable_energy_in_mega_watt_hours</f>
        <v>8. In cell A31 is displayed the Total Renewable Energy in Mega Watt hours</v>
      </c>
      <c r="O17" s="416" t="s">
        <v>3024</v>
      </c>
      <c r="P17" s="427">
        <f>C10</f>
        <v>0</v>
      </c>
      <c r="Q17" s="418"/>
      <c r="S17" s="416" t="s">
        <v>3024</v>
      </c>
      <c r="T17" s="427">
        <f>C11</f>
        <v>0</v>
      </c>
      <c r="U17" s="418"/>
      <c r="W17" s="416" t="s">
        <v>3024</v>
      </c>
      <c r="X17" s="427">
        <f>C12</f>
        <v>0</v>
      </c>
      <c r="Y17" s="418"/>
      <c r="AA17" s="416" t="s">
        <v>3024</v>
      </c>
      <c r="AB17" s="427">
        <f>C13</f>
        <v>0</v>
      </c>
      <c r="AC17" s="418"/>
      <c r="AE17" s="416" t="s">
        <v>3024</v>
      </c>
      <c r="AF17" s="427">
        <f>C14</f>
        <v>0</v>
      </c>
      <c r="AG17" s="418"/>
      <c r="AI17" s="416" t="s">
        <v>3024</v>
      </c>
      <c r="AJ17" s="427">
        <f>C15</f>
        <v>0</v>
      </c>
      <c r="AK17" s="418"/>
      <c r="AL17" s="10"/>
      <c r="AM17" s="416" t="s">
        <v>3024</v>
      </c>
      <c r="AN17" s="427">
        <f>C16</f>
        <v>0</v>
      </c>
      <c r="AO17" s="418"/>
      <c r="AP17" s="10"/>
      <c r="AQ17" s="416" t="s">
        <v>3024</v>
      </c>
      <c r="AR17" s="427">
        <f>C17</f>
        <v>0</v>
      </c>
      <c r="AS17" s="418"/>
      <c r="AU17" s="416" t="s">
        <v>3024</v>
      </c>
      <c r="AV17" s="427">
        <f>C18</f>
        <v>0</v>
      </c>
      <c r="AW17" s="418"/>
      <c r="AY17" s="416" t="s">
        <v>3024</v>
      </c>
      <c r="AZ17" s="427">
        <f>C19</f>
        <v>0</v>
      </c>
      <c r="BA17" s="418"/>
    </row>
    <row r="18" spans="1:53" x14ac:dyDescent="0.35">
      <c r="A18" s="395"/>
      <c r="B18" s="395"/>
      <c r="C18" s="396"/>
      <c r="D18" s="419" t="str">
        <f>AV11</f>
        <v>-</v>
      </c>
      <c r="E18" s="420" t="str">
        <f>AV12</f>
        <v>-</v>
      </c>
      <c r="F18" s="413" t="str">
        <f>IF(C18="","-",AU22)</f>
        <v>-</v>
      </c>
      <c r="G18" s="415" t="str">
        <f t="shared" si="0"/>
        <v/>
      </c>
      <c r="I18" s="10" t="str">
        <f>template_label_9_in_cell_b31_is_displayed_the_total_nonrenewable_energy_in_mega_watt_hours</f>
        <v>9. In cell B31 is displayed the Total Non-renewable Energy in Mega Watt hours</v>
      </c>
      <c r="J18" s="428"/>
      <c r="K18" s="428"/>
      <c r="L18" s="428"/>
      <c r="M18" s="428"/>
      <c r="O18" s="422"/>
      <c r="P18" s="429" t="str">
        <f>IF(P16="g - gram",P17*0.000000001,
IF(P16="Kg - Kilogram",P17*0.000001,
IF(P16="t - tonne",P17*0.001,
IF(P16="Gg - Gigagram",P17*1,
IF(P16="m³ - cubic meters",P17*1000,
IF(P16="L - Liter",P17*1,
""))))))</f>
        <v/>
      </c>
      <c r="Q18" s="418"/>
      <c r="S18" s="422"/>
      <c r="T18" s="429" t="str">
        <f>IF(T16="g - gram",T17*0.000000001,
IF(T16="Kg - Kilogram",T17*0.000001,
IF(T16="t - tonne",T17*0.001,
IF(T16="Gg - Gigagram",T17*1,
IF(T16="m³ - cubic meters",T17*1000,
IF(T16="L - Liter",T17*1,
""))))))</f>
        <v/>
      </c>
      <c r="U18" s="418"/>
      <c r="W18" s="422"/>
      <c r="X18" s="429" t="str">
        <f>IF(X16="g - gram",X17*0.000000001,
IF(X16="Kg - Kilogram",X17*0.000001,
IF(X16="t - tonne",X17*0.001,
IF(X16="Gg - Gigagram",X17*1,
IF(X16="m³ - cubic meters",X17*1000,
IF(X16="L - Liter",X17*1,
""))))))</f>
        <v/>
      </c>
      <c r="Y18" s="418"/>
      <c r="AA18" s="422"/>
      <c r="AB18" s="429" t="str">
        <f>IF(AB16="g - gram",AB17*0.000000001,
IF(AB16="Kg - Kilogram",AB17*0.000001,
IF(AB16="t - tonne",AB17*0.001,
IF(AB16="Gg - Gigagram",AB17*1,
IF(AB16="m³ - cubic meters",AB17*1000,
IF(AB16="L - Liter",AB17*1,
""))))))</f>
        <v/>
      </c>
      <c r="AC18" s="418"/>
      <c r="AE18" s="422"/>
      <c r="AF18" s="429" t="str">
        <f>IF(AF16="g - gram",AF17*0.000000001,
IF(AF16="Kg - Kilogram",AF17*0.000001,
IF(AF16="t - tonne",AF17*0.001,
IF(AF16="Gg - Gigagram",AF17*1,
IF(AF16="m³ - cubic meters",AF17*1000,
IF(AF16="L - Liter",AF17*1,
""))))))</f>
        <v/>
      </c>
      <c r="AG18" s="418"/>
      <c r="AI18" s="422"/>
      <c r="AJ18" s="429" t="str">
        <f>IF(AJ16="g - gram",AJ17*0.000000001,
IF(AJ16="Kg - Kilogram",AJ17*0.000001,
IF(AJ16="t - tonne",AJ17*0.001,
IF(AJ16="Gg - Gigagram",AJ17*1,
IF(AJ16="m³ - cubic meters",AJ17*1000,
IF(AJ16="L - Liter",AJ17*1,
""))))))</f>
        <v/>
      </c>
      <c r="AK18" s="418"/>
      <c r="AL18" s="10"/>
      <c r="AM18" s="422"/>
      <c r="AN18" s="429" t="str">
        <f>IF(AN16="g - gram",AN17*0.000000001,
IF(AN16="Kg - Kilogram",AN17*0.000001,
IF(AN16="t - tonne",AN17*0.001,
IF(AN16="Gg - Gigagram",AN17*1,
IF(AN16="m³ - cubic meters",AN17*1000,
IF(AN16="L - Liter",AN17*1,
""))))))</f>
        <v/>
      </c>
      <c r="AO18" s="418"/>
      <c r="AP18" s="10"/>
      <c r="AQ18" s="422"/>
      <c r="AR18" s="429" t="str">
        <f>IF(AR16="g - gram",AR17*0.000000001,
IF(AR16="Kg - Kilogram",AR17*0.000001,
IF(AR16="t - tonne",AR17*0.001,
IF(AR16="Gg - Gigagram",AR17*1,
IF(AR16="m³ - cubic meters",AR17*1000,
IF(AR16="L - Liter",AR17*1,
""))))))</f>
        <v/>
      </c>
      <c r="AS18" s="418"/>
      <c r="AU18" s="422"/>
      <c r="AV18" s="429" t="str">
        <f>IF(AV16="g - gram",AV17*0.000000001,
IF(AV16="Kg - Kilogram",AV17*0.000001,
IF(AV16="t - tonne",AV17*0.001,
IF(AV16="Gg - Gigagram",AV17*1,
IF(AV16="m³ - cubic meters",AV17*1000,
IF(AV16="L - Liter",AV17*1,
""))))))</f>
        <v/>
      </c>
      <c r="AW18" s="418"/>
      <c r="AY18" s="422"/>
      <c r="AZ18" s="429" t="str">
        <f>IF(AZ16="g - gram",AZ17*0.000000001,
IF(AZ16="Kg - Kilogram",AZ17*0.000001,
IF(AZ16="t - tonne",AZ17*0.001,
IF(AZ16="Gg - Gigagram",AZ17*1,
IF(AZ16="m³ - cubic meters",AZ17*1000,
IF(AZ16="L - Liter",AZ17*1,
""))))))</f>
        <v/>
      </c>
      <c r="BA18" s="418"/>
    </row>
    <row r="19" spans="1:53" ht="15" thickBot="1" x14ac:dyDescent="0.4">
      <c r="A19" s="397"/>
      <c r="B19" s="397"/>
      <c r="C19" s="398"/>
      <c r="D19" s="430" t="str">
        <f>AZ11</f>
        <v>-</v>
      </c>
      <c r="E19" s="431" t="str">
        <f>AZ12</f>
        <v>-</v>
      </c>
      <c r="F19" s="432" t="str">
        <f>IF(C19="","-",AY22)</f>
        <v>-</v>
      </c>
      <c r="G19" s="415" t="str">
        <f t="shared" si="0"/>
        <v/>
      </c>
      <c r="I19" s="461" t="str">
        <f>template_label_10_further_notes_can_be_found_below</f>
        <v>10. Further notes can be found below</v>
      </c>
      <c r="O19" s="422"/>
      <c r="P19" s="17"/>
      <c r="Q19" s="418"/>
      <c r="S19" s="422"/>
      <c r="T19" s="17"/>
      <c r="U19" s="418"/>
      <c r="W19" s="422"/>
      <c r="X19" s="17"/>
      <c r="Y19" s="418"/>
      <c r="AA19" s="422"/>
      <c r="AB19" s="17"/>
      <c r="AC19" s="418"/>
      <c r="AE19" s="422"/>
      <c r="AF19" s="17"/>
      <c r="AG19" s="418"/>
      <c r="AI19" s="422"/>
      <c r="AJ19" s="17"/>
      <c r="AK19" s="418"/>
      <c r="AL19" s="10"/>
      <c r="AM19" s="422"/>
      <c r="AN19" s="17"/>
      <c r="AO19" s="418"/>
      <c r="AP19" s="10"/>
      <c r="AQ19" s="422"/>
      <c r="AR19" s="17"/>
      <c r="AS19" s="418"/>
      <c r="AU19" s="422"/>
      <c r="AV19" s="17"/>
      <c r="AW19" s="418"/>
      <c r="AY19" s="422"/>
      <c r="AZ19" s="17"/>
      <c r="BA19" s="418"/>
    </row>
    <row r="20" spans="1:53" ht="15" thickBot="1" x14ac:dyDescent="0.4">
      <c r="A20" s="10"/>
      <c r="B20" s="10"/>
      <c r="O20" s="422"/>
      <c r="Q20" s="418"/>
      <c r="S20" s="422"/>
      <c r="U20" s="418"/>
      <c r="W20" s="422"/>
      <c r="Y20" s="418"/>
      <c r="AA20" s="422"/>
      <c r="AC20" s="418"/>
      <c r="AE20" s="422"/>
      <c r="AG20" s="418"/>
      <c r="AI20" s="422"/>
      <c r="AK20" s="418"/>
      <c r="AL20" s="10"/>
      <c r="AM20" s="422"/>
      <c r="AN20" s="10"/>
      <c r="AO20" s="418"/>
      <c r="AP20" s="10"/>
      <c r="AQ20" s="422"/>
      <c r="AS20" s="418"/>
      <c r="AU20" s="422"/>
      <c r="AW20" s="418"/>
      <c r="AY20" s="422"/>
      <c r="BA20" s="418"/>
    </row>
    <row r="21" spans="1:53" ht="15" thickBot="1" x14ac:dyDescent="0.4">
      <c r="A21" s="10"/>
      <c r="B21" s="10"/>
      <c r="I21" s="428"/>
      <c r="J21" s="428"/>
      <c r="K21" s="428"/>
      <c r="L21" s="428"/>
      <c r="M21" s="428"/>
      <c r="O21" s="416" t="s">
        <v>2927</v>
      </c>
      <c r="Q21" s="418"/>
      <c r="S21" s="416" t="s">
        <v>2927</v>
      </c>
      <c r="U21" s="418"/>
      <c r="W21" s="416" t="s">
        <v>2927</v>
      </c>
      <c r="Y21" s="418"/>
      <c r="AA21" s="416" t="s">
        <v>2927</v>
      </c>
      <c r="AC21" s="418"/>
      <c r="AE21" s="416" t="s">
        <v>2927</v>
      </c>
      <c r="AG21" s="418"/>
      <c r="AI21" s="416" t="s">
        <v>2927</v>
      </c>
      <c r="AK21" s="418"/>
      <c r="AL21" s="10"/>
      <c r="AM21" s="416" t="s">
        <v>2927</v>
      </c>
      <c r="AN21" s="10"/>
      <c r="AO21" s="418"/>
      <c r="AP21" s="10"/>
      <c r="AQ21" s="416" t="s">
        <v>2927</v>
      </c>
      <c r="AS21" s="418"/>
      <c r="AU21" s="416" t="s">
        <v>2927</v>
      </c>
      <c r="AW21" s="418"/>
      <c r="AY21" s="416" t="s">
        <v>2927</v>
      </c>
      <c r="BA21" s="418"/>
    </row>
    <row r="22" spans="1:53" ht="15" thickBot="1" x14ac:dyDescent="0.4">
      <c r="A22" s="10"/>
      <c r="B22" s="10"/>
      <c r="O22" s="433" t="str">
        <f>IF(OR(
   O23="",
   P17="",
   Q16="Liquid fuel: please change unit of measurement, select one among m³ and L",
   Q16="Gaseous fuel: please change unit of measurement, select one among m³ and L",
   Q16="Solid fuel: please change unit of measurement, select one among Gg, t, Kg and g"
),
"-",
IFERROR(O23*277.778, "")
)</f>
        <v>-</v>
      </c>
      <c r="P22" s="10" t="str">
        <f>IFERROR(IF(AND(P17&lt;&gt;0,O22=0),"ERROR",""),"")</f>
        <v/>
      </c>
      <c r="Q22" s="418"/>
      <c r="S22" s="433" t="str">
        <f>IF(OR(
   S23="",
   T17="",
   U16="Liquid fuel: please change unit of measurement, select one among m³ and L",
   U16="Gaseous fuel: please change unit of measurement, select one among m³ and L",
   U16="Solid fuel: please change unit of measurement, select one among Gg, t, Kg and g"
),
"-",
IFERROR(S23*277.778, "")
)</f>
        <v>-</v>
      </c>
      <c r="T22" s="10" t="str">
        <f>IFERROR(IF(AND(T17&lt;&gt;0,S22=0),"ERROR",""),"")</f>
        <v/>
      </c>
      <c r="U22" s="418"/>
      <c r="W22" s="433" t="str">
        <f>IF(OR(
   W23="",
   X17="",
   Y16="Liquid fuel: please change unit of measurement, select one among m³ and L",
   Y16="Gaseous fuel: please change unit of measurement, select one among m³ and L",
   Y16="Solid fuel: please change unit of measurement, select one among Gg, t, Kg and g"
),
"-",
IFERROR(W23*277.778, "")
)</f>
        <v>-</v>
      </c>
      <c r="X22" s="10" t="str">
        <f>IFERROR(IF(AND(X17&lt;&gt;0,W22=0),"ERROR",""),"")</f>
        <v/>
      </c>
      <c r="Y22" s="418"/>
      <c r="AA22" s="433" t="str">
        <f>IF(OR(
   AA23="",
   AB17="",
   AC16="Liquid fuel: please change unit of measurement, select one among m³ and L",
   AC16="Gaseous fuel: please change unit of measurement, select one among m³ and L",
   AC16="Solid fuel: please change unit of measurement, select one among Gg, t, Kg and g"
),
"-",
IFERROR(AA23*277.778, "")
)</f>
        <v>-</v>
      </c>
      <c r="AB22" s="10" t="str">
        <f>IFERROR(IF(AND(AB17&lt;&gt;0,AA22=0),"ERROR",""),"")</f>
        <v/>
      </c>
      <c r="AC22" s="418"/>
      <c r="AE22" s="433" t="str">
        <f>IF(OR(
   AE23="",
   AF17="",
   AG16="Liquid fuel: please change unit of measurement, select one among m³ and L",
   AG16="Gaseous fuel: please change unit of measurement, select one among m³ and L",
   AG16="Solid fuel: please change unit of measurement, select one among Gg, t, Kg and g"
),
"-",
IFERROR(AE23*277.778, "")
)</f>
        <v>-</v>
      </c>
      <c r="AF22" s="10" t="str">
        <f>IFERROR(IF(AND(AF17&lt;&gt;0,AE22=0),"ERROR",""),"")</f>
        <v/>
      </c>
      <c r="AG22" s="418"/>
      <c r="AI22" s="433" t="str">
        <f>IF(OR(
   AI23="",
   AJ17="",
   AK16="Liquid fuel: please change unit of measurement, select one among m³ and L",
   AK16="Gaseous fuel: please change unit of measurement, select one among m³ and L",
   AK16="Solid fuel: please change unit of measurement, select one among Gg, t, Kg and g"
),
"-",
IFERROR(AI23*277.778, "")
)</f>
        <v>-</v>
      </c>
      <c r="AJ22" s="10" t="str">
        <f>IFERROR(IF(AND(AJ17&lt;&gt;0,AI22=0),"ERROR",""),"")</f>
        <v/>
      </c>
      <c r="AK22" s="418"/>
      <c r="AL22" s="10"/>
      <c r="AM22" s="433" t="str">
        <f>IF(OR(
   AM23="",
   AN17="",
   AO16="Liquid fuel: please change unit of measurement, select one among m³ and L",
   AO16="Gaseous fuel: please change unit of measurement, select one among m³ and L",
   AO16="Solid fuel: please change unit of measurement, select one among Gg, t, Kg and g"
),
"-",
IFERROR(AM23*277.778, "")
)</f>
        <v>-</v>
      </c>
      <c r="AN22" s="10" t="str">
        <f>IFERROR(IF(AND(AN17&lt;&gt;0,AM22=0),"ERROR",""),"")</f>
        <v/>
      </c>
      <c r="AO22" s="418"/>
      <c r="AP22" s="10"/>
      <c r="AQ22" s="433" t="str">
        <f>IF(OR(
   AQ23="",
   AR17="",
   AS16="Liquid fuel: please change unit of measurement, select one among m³ and L",
   AS16="Gaseous fuel: please change unit of measurement, select one among m³ and L",
   AS16="Solid fuel: please change unit of measurement, select one among Gg, t, Kg and g"
),
"-",
IFERROR(AQ23*277.778, "")
)</f>
        <v>-</v>
      </c>
      <c r="AR22" s="10" t="str">
        <f>IFERROR(IF(AND(AR17&lt;&gt;0,AQ22=0),"ERROR",""),"")</f>
        <v/>
      </c>
      <c r="AS22" s="418"/>
      <c r="AU22" s="433" t="str">
        <f>IF(OR(
   AU23="",
   AV17="",
   AW16="Liquid fuel: please change unit of measurement, select one among m³ and L",
   AW16="Gaseous fuel: please change unit of measurement, select one among m³ and L",
   AW16="Solid fuel: please change unit of measurement, select one among Gg, t, Kg and g"
),
"-",
IFERROR(AU23*277.778, "")
)</f>
        <v>-</v>
      </c>
      <c r="AV22" s="10" t="str">
        <f>IFERROR(IF(AND(AV17&lt;&gt;0,AU22=0),"ERROR",""),"")</f>
        <v/>
      </c>
      <c r="AW22" s="418"/>
      <c r="AY22" s="433" t="str">
        <f>IF(OR(
   AY23="",
   AZ17="",
   BA16="Liquid fuel: please change unit of measurement, select one among m³ and L",
   BA16="Gaseous fuel: please change unit of measurement, select one among m³ and L",
   BA16="Solid fuel: please change unit of measurement, select one among Gg, t, Kg and g"
),
"-",
IFERROR(AY23*277.778, "")
)</f>
        <v>-</v>
      </c>
      <c r="AZ22" s="10" t="str">
        <f>IFERROR(IF(AND(AZ17&lt;&gt;0,AY22=0),"ERROR",""),"")</f>
        <v/>
      </c>
      <c r="BA22" s="418"/>
    </row>
    <row r="23" spans="1:53" x14ac:dyDescent="0.35">
      <c r="A23" s="1125" t="str">
        <f>template_label_transfer_the_total_results_to_the_b3_fuel_energy_consumption_reporting_cell</f>
        <v>Transfer the total calculated results to the B3 "Fuel Energy Consumption" reporting cell</v>
      </c>
      <c r="B23" s="1126"/>
      <c r="C23" s="1127"/>
      <c r="D23" s="1131" t="b">
        <v>0</v>
      </c>
      <c r="E23" s="1132"/>
      <c r="F23" s="1133"/>
      <c r="O23" s="434" t="str">
        <f>IFERROR(A27, "")</f>
        <v/>
      </c>
      <c r="P23" s="405"/>
      <c r="Q23" s="435"/>
      <c r="S23" s="434" t="str">
        <f>IFERROR(L26, "")</f>
        <v/>
      </c>
      <c r="T23" s="405"/>
      <c r="U23" s="435"/>
      <c r="W23" s="434" t="str">
        <f>IFERROR(P26, "")</f>
        <v/>
      </c>
      <c r="X23" s="405"/>
      <c r="Y23" s="435"/>
      <c r="AA23" s="434" t="str">
        <f>IFERROR(T26, "")</f>
        <v/>
      </c>
      <c r="AB23" s="405"/>
      <c r="AC23" s="435"/>
      <c r="AE23" s="434" t="str">
        <f>IFERROR(X26, "")</f>
        <v/>
      </c>
      <c r="AF23" s="405"/>
      <c r="AG23" s="435"/>
      <c r="AI23" s="434" t="str">
        <f>IFERROR(AB26, "")</f>
        <v/>
      </c>
      <c r="AJ23" s="405"/>
      <c r="AK23" s="435"/>
      <c r="AL23" s="10"/>
      <c r="AM23" s="434" t="str">
        <f>IFERROR(AF26, "")</f>
        <v/>
      </c>
      <c r="AN23" s="405"/>
      <c r="AO23" s="435"/>
      <c r="AP23" s="10"/>
      <c r="AQ23" s="434" t="str">
        <f>IFERROR(AJ26, "")</f>
        <v/>
      </c>
      <c r="AR23" s="405"/>
      <c r="AS23" s="435"/>
      <c r="AU23" s="434" t="str">
        <f>IFERROR(AN26, "")</f>
        <v/>
      </c>
      <c r="AV23" s="405"/>
      <c r="AW23" s="435"/>
      <c r="AY23" s="434" t="str">
        <f>IFERROR(AR26, "")</f>
        <v/>
      </c>
      <c r="AZ23" s="405"/>
      <c r="BA23" s="435"/>
    </row>
    <row r="24" spans="1:53" ht="15" thickBot="1" x14ac:dyDescent="0.4">
      <c r="A24" s="1128"/>
      <c r="B24" s="1129"/>
      <c r="C24" s="1130"/>
      <c r="D24" s="1134"/>
      <c r="E24" s="1135"/>
      <c r="F24" s="1136"/>
      <c r="O24" s="436" t="str">
        <f>IFERROR(
    IF(AND(T11="Solid"),T18,
        IF(AND(T11="Liquid"),T18*_xlfn.XLOOKUP(T10,'Fuel Conversion Parameters'!$A$2:$A$51,'Fuel Conversion Parameters'!$D$2:$D$51)*10^(-6),
            IF(AND(T11="Gaseous"),T18*_xlfn.XLOOKUP(T10,'Fuel Conversion Parameters'!$A$2:$A$51,'Fuel Conversion Parameters'!$E$2:$E$51)*10^(-3)*10^(-6),"")
        )
    ),
    ""
)</f>
        <v/>
      </c>
      <c r="S24" s="436" t="str">
        <f>IFERROR(
    IF(AND(X11="Solid"),X18,
        IF(AND(X11="Liquid"),X18*_xlfn.XLOOKUP(X10,'Fuel Conversion Parameters'!$A$2:$A$51,'Fuel Conversion Parameters'!$D$2:$D$51)*10^(-6),
            IF(AND(X11="Gaseous"),X18*_xlfn.XLOOKUP(X10,'Fuel Conversion Parameters'!$A$2:$A$51,'Fuel Conversion Parameters'!$E$2:$E$51)*10^(-3)*10^(-6),"")
        )
    ),
    ""
)</f>
        <v/>
      </c>
      <c r="W24" s="436" t="str">
        <f>IFERROR(
    IF(AND(AB11="Solid"),AB18,
        IF(AND(AB11="Liquid"),AB18*_xlfn.XLOOKUP(AB10,'Fuel Conversion Parameters'!$A$2:$A$51,'Fuel Conversion Parameters'!$D$2:$D$51)*10^(-6),
            IF(AND(AB11="Gaseous"),AB18*_xlfn.XLOOKUP(AB10,'Fuel Conversion Parameters'!$A$2:$A$51,'Fuel Conversion Parameters'!$E$2:$E$51)*10^(-3)*10^(-6),"")
        )
    ),
    ""
)</f>
        <v/>
      </c>
      <c r="AA24" s="436" t="str">
        <f>IFERROR(
    IF(AND(AF11="Solid"),AF18,
        IF(AND(AF11="Liquid"),AF18*_xlfn.XLOOKUP(AF10,'Fuel Conversion Parameters'!$A$2:$A$51,'Fuel Conversion Parameters'!$D$2:$D$51)*10^(-6),
            IF(AND(AF11="Gaseous"),AF18*_xlfn.XLOOKUP(AF10,'Fuel Conversion Parameters'!$A$2:$A$51,'Fuel Conversion Parameters'!$E$2:$E$51)*10^(-3)*10^(-6),"")
        )
    ),
    ""
)</f>
        <v/>
      </c>
      <c r="AE24" s="436" t="str">
        <f>IFERROR(
    IF(AND(AJ11="Solid"),AJ18,
        IF(AND(AJ11="Liquid"),AJ18*_xlfn.XLOOKUP(AJ10,'Fuel Conversion Parameters'!$A$2:$A$51,'Fuel Conversion Parameters'!$D$2:$D$51)*10^(-6),
            IF(AND(AJ11="Gaseous"),AJ18*_xlfn.XLOOKUP(AJ10,'Fuel Conversion Parameters'!$A$2:$A$51,'Fuel Conversion Parameters'!$E$2:$E$51)*10^(-3)*10^(-6),"")
        )
    ),
    ""
)</f>
        <v/>
      </c>
      <c r="AI24" s="436" t="str">
        <f>IFERROR(
    IF(AND(AN11="Solid"),AN18,
        IF(AND(AN11="Liquid"),AN18*_xlfn.XLOOKUP(AN10,'Fuel Conversion Parameters'!$A$2:$A$51,'Fuel Conversion Parameters'!$D$2:$D$51)*10^(-6),
            IF(AND(AN11="Gaseous"),AN18*_xlfn.XLOOKUP(AN10,'Fuel Conversion Parameters'!$A$2:$A$51,'Fuel Conversion Parameters'!$E$2:$E$51)*10^(-3)*10^(-6),"")
        )
    ),
    ""
)</f>
        <v/>
      </c>
      <c r="AL24" s="10"/>
      <c r="AM24" s="436" t="str">
        <f>IFERROR(
    IF(AND(AR11="Solid"),AR18,
        IF(AND(AR11="Liquid"),AR18*_xlfn.XLOOKUP(AR10,'Fuel Conversion Parameters'!$A$2:$A$51,'Fuel Conversion Parameters'!$D$2:$D$51)*10^(-6),
            IF(AND(AR11="Gaseous"),AR18*_xlfn.XLOOKUP(AR10,'Fuel Conversion Parameters'!$A$2:$A$51,'Fuel Conversion Parameters'!$E$2:$E$51)*10^(-3)*10^(-6),"")
        )
    ),
    ""
)</f>
        <v/>
      </c>
      <c r="AN24" s="10"/>
      <c r="AO24" s="10"/>
      <c r="AP24" s="10"/>
      <c r="AQ24" s="436" t="str">
        <f>IFERROR(
    IF(AND(AV11="Solid"),AV18,
        IF(AND(AV11="Liquid"),AV18*_xlfn.XLOOKUP(AV10,'Fuel Conversion Parameters'!$A$2:$A$51,'Fuel Conversion Parameters'!$D$2:$D$51)*10^(-6),
            IF(AND(AV11="Gaseous"),AV18*_xlfn.XLOOKUP(AV10,'Fuel Conversion Parameters'!$A$2:$A$51,'Fuel Conversion Parameters'!$E$2:$E$51)*10^(-3)*10^(-6),"")
        )
    ),
    ""
)</f>
        <v/>
      </c>
      <c r="AU24" s="436" t="str">
        <f>IFERROR(
    IF(AND(AZ11="Solid"),AZ18,
        IF(AND(AZ11="Liquid"),AZ18*_xlfn.XLOOKUP(AZ10,'Fuel Conversion Parameters'!$A$2:$A$51,'Fuel Conversion Parameters'!$D$2:$D$51)*10^(-6),
            IF(AND(AZ11="Gaseous"),AZ18*_xlfn.XLOOKUP(AZ10,'Fuel Conversion Parameters'!$A$2:$A$51,'Fuel Conversion Parameters'!$E$2:$E$51)*10^(-3)*10^(-6),"")
        )
    ),
    ""
)</f>
        <v/>
      </c>
    </row>
    <row r="25" spans="1:53" x14ac:dyDescent="0.35">
      <c r="A25" s="436" t="str">
        <f>IFERROR(
    IF(AND(P11="Solid"),P18,
        IF(AND(P11="Liquid"),P18*_xlfn.XLOOKUP(P10,'Fuel Conversion Parameters'!$A$2:$A$51,'Fuel Conversion Parameters'!$D$2:$D$51)*10^(-6),
            IF(AND(P11="Gaseous"),P18*_xlfn.XLOOKUP(P10,'Fuel Conversion Parameters'!$A$2:$A$51,'Fuel Conversion Parameters'!$E$2:$E$51)*10^(-3)*10^(-6),"")
        )
    ),
    ""
)</f>
        <v/>
      </c>
      <c r="B25" s="10"/>
      <c r="L25" s="436" t="str">
        <f>IFERROR(VLOOKUP(T10, 'Fuel Conversion Parameters'!$A:$C, 3, FALSE), "")</f>
        <v/>
      </c>
      <c r="P25" s="436" t="str">
        <f>IFERROR(VLOOKUP(X10, 'Fuel Conversion Parameters'!$A:$C, 3, FALSE), "")</f>
        <v/>
      </c>
      <c r="T25" s="436" t="str">
        <f>IFERROR(VLOOKUP(AB10, 'Fuel Conversion Parameters'!$A:$C, 3, FALSE), "")</f>
        <v/>
      </c>
      <c r="X25" s="436" t="str">
        <f>IFERROR(VLOOKUP(AF10, 'Fuel Conversion Parameters'!$A:$C, 3, FALSE), "")</f>
        <v/>
      </c>
      <c r="AB25" s="436" t="str">
        <f>IFERROR(VLOOKUP(AJ10, 'Fuel Conversion Parameters'!$A:$C, 3, FALSE), "")</f>
        <v/>
      </c>
      <c r="AF25" s="436" t="str">
        <f>IFERROR(VLOOKUP(AN10, 'Fuel Conversion Parameters'!$A:$C, 3, FALSE), "")</f>
        <v/>
      </c>
      <c r="AJ25" s="436" t="str">
        <f>IFERROR(VLOOKUP(AR10, 'Fuel Conversion Parameters'!$A:$C, 3, FALSE), "")</f>
        <v/>
      </c>
      <c r="AL25" s="10"/>
      <c r="AN25" s="436" t="str">
        <f>IFERROR(VLOOKUP(AV10, 'Fuel Conversion Parameters'!$A:$C, 3, FALSE), "")</f>
        <v/>
      </c>
      <c r="AO25" s="10"/>
      <c r="AP25" s="10"/>
      <c r="AR25" s="436" t="str">
        <f>IFERROR(VLOOKUP(AZ10, 'Fuel Conversion Parameters'!$A:$C, 3, FALSE), "")</f>
        <v/>
      </c>
    </row>
    <row r="26" spans="1:53" x14ac:dyDescent="0.35">
      <c r="A26" s="436" t="str">
        <f>IFERROR(VLOOKUP(P10, 'Fuel Conversion Parameters'!$A:$C, 3, FALSE), "")</f>
        <v/>
      </c>
      <c r="B26" s="436" t="str">
        <f>IF(B24="m³ - cubic meters",B25*1000,
IF(B24="L - Liter",B25*1,
""))</f>
        <v/>
      </c>
      <c r="L26" s="437" t="str">
        <f>IFERROR(IF(OR(O24="", L25=""), "", O24*L25), "")</f>
        <v/>
      </c>
      <c r="M26" s="436" t="str">
        <f>IF(P24="m³ - cubic meters",M25*1000,
IF(P24="L - Liter",M25*1,
""))</f>
        <v/>
      </c>
      <c r="P26" s="437" t="str">
        <f>IFERROR(IF(OR(S24="", P25=""), "", S24*P25), "")</f>
        <v/>
      </c>
      <c r="Q26" s="436" t="str">
        <f>IF(T24="m³ - cubic meters",Q25*1000,
IF(T24="L - Liter",Q25*1,
""))</f>
        <v/>
      </c>
      <c r="T26" s="437" t="str">
        <f>IFERROR(IF(OR(W24="", T25=""), "", W24*T25), "")</f>
        <v/>
      </c>
      <c r="U26" s="436" t="str">
        <f>IF(X24="m³ - cubic meters",U25*1000,
IF(X24="L - Liter",U25*1,
""))</f>
        <v/>
      </c>
      <c r="X26" s="437" t="str">
        <f>IFERROR(IF(OR(AA24="", X25=""), "", AA24*X25), "")</f>
        <v/>
      </c>
      <c r="Y26" s="436" t="str">
        <f>IF(AB24="m³ - cubic meters",Y25*1000,
IF(AB24="L - Liter",Y25*1,
""))</f>
        <v/>
      </c>
      <c r="AB26" s="437" t="str">
        <f>IFERROR(IF(OR(AE24="", AB25=""), "", AE24*AB25), "")</f>
        <v/>
      </c>
      <c r="AC26" s="436" t="str">
        <f>IF(AF24="m³ - cubic meters",AC25*1000,
IF(AF24="L - Liter",AC25*1,
""))</f>
        <v/>
      </c>
      <c r="AF26" s="437" t="str">
        <f>IFERROR(IF(OR(AI24="", AF25=""), "", AI24*AF25), "")</f>
        <v/>
      </c>
      <c r="AG26" s="436" t="str">
        <f>IF(AJ24="m³ - cubic meters",AG25*1000,
IF(AJ24="L - Liter",AG25*1,
""))</f>
        <v/>
      </c>
      <c r="AJ26" s="437" t="str">
        <f>IFERROR(IF(OR(AM24="", AJ25=""), "", AM24*AJ25), "")</f>
        <v/>
      </c>
      <c r="AK26" s="436" t="str">
        <f>IF(AN24="m³ - cubic meters",AK25*1000,
IF(AN24="L - Liter",AK25*1,
""))</f>
        <v/>
      </c>
      <c r="AL26" s="10"/>
      <c r="AN26" s="437" t="str">
        <f>IFERROR(IF(OR(AQ24="", AN25=""), "", AQ24*AN25), "")</f>
        <v/>
      </c>
      <c r="AO26" s="436" t="str">
        <f>IF(AR24="m³ - cubic meters",AO25*1000,
IF(AR24="L - Liter",AO25*1,
""))</f>
        <v/>
      </c>
      <c r="AP26" s="10"/>
      <c r="AR26" s="437" t="str">
        <f>IFERROR(IF(OR(AU24="", AR25=""), "", AU24*AR25), "")</f>
        <v/>
      </c>
      <c r="AS26" s="436" t="str">
        <f>IF(AV24="m³ - cubic meters",AS25*1000,
IF(AV24="L - Liter",AS25*1,
""))</f>
        <v/>
      </c>
    </row>
    <row r="27" spans="1:53" ht="15" thickBot="1" x14ac:dyDescent="0.4">
      <c r="A27" s="437" t="str">
        <f>IFERROR(IF(OR(A25="", A26=""), "", A25*A26), "")</f>
        <v/>
      </c>
      <c r="B27" s="10"/>
      <c r="AL27" s="10"/>
      <c r="AN27" s="10"/>
      <c r="AO27" s="10"/>
      <c r="AP27" s="10"/>
    </row>
    <row r="28" spans="1:53" ht="15" thickBot="1" x14ac:dyDescent="0.4">
      <c r="A28" s="1121" t="str">
        <f>template_label_total_energy</f>
        <v>Total Energy [MWh]</v>
      </c>
      <c r="B28" s="1122"/>
      <c r="AL28" s="10"/>
      <c r="AN28" s="10"/>
      <c r="AO28" s="10"/>
      <c r="AP28" s="10"/>
    </row>
    <row r="29" spans="1:53" ht="15" thickBot="1" x14ac:dyDescent="0.4">
      <c r="A29" s="1123" t="str">
        <f>IFERROR(A32+B32, "-")</f>
        <v>-</v>
      </c>
      <c r="B29" s="1124"/>
      <c r="AL29" s="10"/>
      <c r="AN29" s="10"/>
      <c r="AO29" s="10"/>
      <c r="AP29" s="10"/>
    </row>
    <row r="30" spans="1:53" ht="15" thickBot="1" x14ac:dyDescent="0.4">
      <c r="A30" s="10"/>
      <c r="B30" s="10"/>
      <c r="L30" s="437" t="str">
        <f>IFERROR(L33, "")</f>
        <v/>
      </c>
      <c r="AL30" s="10"/>
      <c r="AN30" s="10"/>
      <c r="AO30" s="10"/>
      <c r="AP30" s="10"/>
    </row>
    <row r="31" spans="1:53" ht="15" thickBot="1" x14ac:dyDescent="0.4">
      <c r="A31" s="416" t="str">
        <f>template_label_total_renewable_energy</f>
        <v>Total Renewable Energy [MWh]</v>
      </c>
      <c r="B31" s="406" t="str">
        <f>template_label_total_nonrenewable_energy</f>
        <v>Total Non-renewable Energy [MWh]</v>
      </c>
      <c r="L31" s="437" t="str">
        <f>IFERROR(
    IF(AND(T17&lt;&gt;"",T21="",M25=""),T18,
        IF(AND(T17="",T21&lt;&gt;"",M25=""),T22*_xlfn.XLOOKUP(T10,'Fuel Conversion Parameters'!$A$2:$A$51,'Fuel Conversion Parameters'!$D$2:$D$51)*10^(-6),
            IF(AND(T17="",T21="",M25&lt;&gt;""),M26*_xlfn.XLOOKUP(T10,'Fuel Conversion Parameters'!$A$2:$A$51,'Fuel Conversion Parameters'!$E$2:$E$51)*10^(-3)*10^(-6),"")
        )
    ),
    ""
)</f>
        <v/>
      </c>
      <c r="AL31" s="10"/>
      <c r="AN31" s="10"/>
      <c r="AO31" s="10"/>
      <c r="AP31" s="10"/>
    </row>
    <row r="32" spans="1:53" ht="15" thickBot="1" x14ac:dyDescent="0.4">
      <c r="A32" s="433" t="str">
        <f>IF(OR(ISBLANK(A10), ISBLANK(B10), ISBLANK(C10)), "-",
    IFERROR(
        IF(COUNTIF(G22:AY22, "-")=10, "-",
            SUMIFS(O22, P12, "Renewable") +
            SUMIFS(S22, T12, "Renewable") +
            SUMIFS(P29, X12, "Renewable") +
            SUMIFS(T29, AB12, "Renewable") +
            SUMIFS(X29, AF12, "Renewable") +
            SUMIFS(AB29, AJ12, "Renewable") +
            SUMIFS(AF29, AN12, "Renewable") +
            SUMIFS(AJ29, AR12, "Renewable") +
            SUMIFS(AN29, AV12, "Renewable") +
            SUMIFS(AR29, AZ12, "Renewable")
        ), "-"
    )
)</f>
        <v>-</v>
      </c>
      <c r="B32" s="433" t="str">
        <f>IF(OR(ISBLANK(A10), ISBLANK(B10), ISBLANK(C10)), "-",
    IFERROR(
        IF(COUNTIF(G22:AY22, "-")=10, "-",
            SUMIFS(O22, P12, "Non-renewable") +
            SUMIFS(S22, T12, "Non-renewable") +
            SUMIFS(P29, X12, "Non-renewable") +
            SUMIFS(T29, AB12, "Non-renewable") +
            SUMIFS(X29, AF12, "Non-renewable") +
            SUMIFS(AB29, AJ12, "Non-renewable") +
            SUMIFS(AF29, AN12, "Non-renewable") +
            SUMIFS(AJ29, AR12, "Non-renewable") +
            SUMIFS(AN29, AV12, "Non-renewable") +
            SUMIFS(AR29, AZ12, "Non-renewable")
        ), "-"
    )
)</f>
        <v>-</v>
      </c>
      <c r="L32" s="437" t="str">
        <f>IFERROR(VLOOKUP(T10, 'Fuel Conversion Parameters'!$A:$C, 3, FALSE), "")</f>
        <v/>
      </c>
      <c r="AL32" s="10"/>
      <c r="AN32" s="10"/>
      <c r="AO32" s="10"/>
      <c r="AP32" s="10"/>
    </row>
    <row r="33" spans="1:42" x14ac:dyDescent="0.35">
      <c r="A33" s="437"/>
      <c r="B33" s="10"/>
      <c r="L33" s="437" t="str">
        <f>IFERROR(IF(OR(L31="", L32=""), "", L31*L32), "")</f>
        <v/>
      </c>
      <c r="AL33" s="10"/>
      <c r="AN33" s="10"/>
      <c r="AO33" s="10"/>
      <c r="AP33" s="10"/>
    </row>
    <row r="34" spans="1:42" x14ac:dyDescent="0.35">
      <c r="A34" s="10"/>
      <c r="B34" s="10"/>
      <c r="AL34" s="10"/>
      <c r="AN34" s="10"/>
      <c r="AO34" s="10"/>
      <c r="AP34" s="10"/>
    </row>
    <row r="35" spans="1:42" x14ac:dyDescent="0.35">
      <c r="A35" s="10"/>
      <c r="B35" s="10"/>
      <c r="AL35" s="10"/>
      <c r="AN35" s="10"/>
      <c r="AO35" s="10"/>
      <c r="AP35" s="10"/>
    </row>
    <row r="36" spans="1:42" x14ac:dyDescent="0.35">
      <c r="A36" s="400" t="str">
        <f>template_label_further_notes</f>
        <v>Further notes:</v>
      </c>
      <c r="B36" s="10"/>
      <c r="AL36" s="10"/>
      <c r="AN36" s="10"/>
      <c r="AO36" s="10"/>
      <c r="AP36" s="10"/>
    </row>
    <row r="37" spans="1:42" ht="257.39999999999998" customHeight="1" x14ac:dyDescent="0.35">
      <c r="A37" s="924" t="str">
        <f>template_label_the_converter_offers_the_possibility_of_calculating_simultaneously_up_to_10_different_types_of_fuel</f>
        <v>The converter offers the possibility of calculating simultaneously up to 10 different types of fuel. To do this please expand the hidden columns using the plus icon on the top of the document.
Each expanded fuel converter works exactly as explained above.
It’s important to note that the automatic calculation performed by the Fuel Converter is done using NCVs and Densities that are typical for that specific type of fuel. If the undertaking is able to provide the specific NCVs and Densities of the Fuels used, there is the possibility to calculate the Energy Consumption per Hour in MWh embedding the specific values in the formulas that are automatized in the Fuel Converter sheet.
Below there are the formulas, just in case the solution of a not-automatized calculation using specific values is preferred to the one of the Converter. If you need to convert the Unit of Measurement of your specific measures, please use the Unit of Measurement Converter.</v>
      </c>
      <c r="B37" s="924"/>
      <c r="AL37" s="10"/>
      <c r="AN37" s="10"/>
      <c r="AO37" s="10"/>
      <c r="AP37" s="10"/>
    </row>
    <row r="38" spans="1:42" x14ac:dyDescent="0.35">
      <c r="A38" s="10"/>
      <c r="B38" s="10"/>
      <c r="AL38" s="10"/>
      <c r="AN38" s="10"/>
      <c r="AO38" s="10"/>
      <c r="AP38" s="10"/>
    </row>
    <row r="39" spans="1:42" x14ac:dyDescent="0.35">
      <c r="A39" s="1119" t="str">
        <f>template_label_energy_consumption_per_hour_in_mwh_for_solid_fuels</f>
        <v>Energy Consumption per Hour in MWh for Solid Fuels:</v>
      </c>
      <c r="B39" s="1119"/>
      <c r="AL39" s="10"/>
      <c r="AN39" s="10"/>
      <c r="AO39" s="10"/>
      <c r="AP39" s="10"/>
    </row>
    <row r="40" spans="1:42" ht="18.5" x14ac:dyDescent="0.45">
      <c r="A40" s="1120" t="str">
        <f>template_label_energy_solid_fuels</f>
        <v>Energy [MWh] = Mass [t] * NCV [MWh/t]</v>
      </c>
      <c r="B40" s="1120"/>
      <c r="AL40" s="10"/>
      <c r="AN40" s="10"/>
      <c r="AO40" s="10"/>
      <c r="AP40" s="10"/>
    </row>
    <row r="41" spans="1:42" x14ac:dyDescent="0.35">
      <c r="A41" s="1119"/>
      <c r="B41" s="1119"/>
      <c r="AL41" s="10"/>
      <c r="AN41" s="10"/>
      <c r="AO41" s="10"/>
      <c r="AP41" s="10"/>
    </row>
    <row r="42" spans="1:42" x14ac:dyDescent="0.35">
      <c r="A42" s="1119" t="str">
        <f>template_label_energy_consumption_per_hour_in_mwh_for_liquid_fuels</f>
        <v>Energy Consumption per Hour in MWh for Liquid Fuels:</v>
      </c>
      <c r="B42" s="1119"/>
      <c r="AL42" s="10"/>
      <c r="AN42" s="10"/>
      <c r="AO42" s="10"/>
      <c r="AP42" s="10"/>
    </row>
    <row r="43" spans="1:42" ht="18.5" x14ac:dyDescent="0.45">
      <c r="A43" s="1120" t="str">
        <f>template_label_mass_liquid_fuels</f>
        <v>Mass [t] = Volume [L] * Density [t/L]</v>
      </c>
      <c r="B43" s="1120"/>
      <c r="AL43" s="10"/>
      <c r="AN43" s="10"/>
      <c r="AO43" s="10"/>
      <c r="AP43" s="10"/>
    </row>
    <row r="44" spans="1:42" ht="18.5" x14ac:dyDescent="0.45">
      <c r="A44" s="1120" t="str">
        <f>template_label_energy_liquid_fuels</f>
        <v>Energy [MWh] = Mass [t] * [MWh/t]</v>
      </c>
      <c r="B44" s="1120"/>
      <c r="AL44" s="10"/>
      <c r="AN44" s="10"/>
      <c r="AO44" s="10"/>
      <c r="AP44" s="10"/>
    </row>
    <row r="45" spans="1:42" x14ac:dyDescent="0.35">
      <c r="A45" s="1119"/>
      <c r="B45" s="1119"/>
      <c r="AL45" s="10"/>
      <c r="AN45" s="10"/>
      <c r="AO45" s="10"/>
      <c r="AP45" s="10"/>
    </row>
    <row r="46" spans="1:42" x14ac:dyDescent="0.35">
      <c r="A46" s="1119" t="str">
        <f>template_label_energy_consumption_per_hour_in_mwh_for_gaseous_fuels</f>
        <v>Energy Consumption per Hour in MWh for Gaseous Fuels:</v>
      </c>
      <c r="B46" s="1119"/>
      <c r="AL46" s="10"/>
      <c r="AN46" s="10"/>
      <c r="AO46" s="10"/>
      <c r="AP46" s="10"/>
    </row>
    <row r="47" spans="1:42" ht="18.5" x14ac:dyDescent="0.45">
      <c r="A47" s="1120" t="str">
        <f>template_label_mass_gaseous_fuels</f>
        <v>Mass [t] = Volume [m³] * Density [t/m³]</v>
      </c>
      <c r="B47" s="1120"/>
      <c r="C47" s="456"/>
      <c r="AL47" s="10"/>
      <c r="AN47" s="10"/>
      <c r="AO47" s="10"/>
      <c r="AP47" s="10"/>
    </row>
    <row r="48" spans="1:42" ht="18.5" x14ac:dyDescent="0.45">
      <c r="A48" s="1120" t="str">
        <f>template_label_energy_gaseous_fuels</f>
        <v>Energy [MWh] = Mass [t] * NCV [MWh/t]</v>
      </c>
      <c r="B48" s="1120"/>
      <c r="AL48" s="10"/>
      <c r="AN48" s="10"/>
      <c r="AO48" s="10"/>
      <c r="AP48" s="10"/>
    </row>
    <row r="49" s="10" customFormat="1" x14ac:dyDescent="0.35"/>
    <row r="50" s="10" customFormat="1" x14ac:dyDescent="0.35"/>
    <row r="51" s="10" customFormat="1" x14ac:dyDescent="0.35"/>
    <row r="52" s="10" customFormat="1" x14ac:dyDescent="0.35"/>
    <row r="53" s="10" customFormat="1" x14ac:dyDescent="0.35"/>
    <row r="54" s="10" customFormat="1" x14ac:dyDescent="0.35"/>
    <row r="55" s="10" customFormat="1" x14ac:dyDescent="0.35"/>
    <row r="56" s="10" customFormat="1" x14ac:dyDescent="0.35"/>
    <row r="57" s="10" customFormat="1" x14ac:dyDescent="0.35"/>
    <row r="58" s="10" customFormat="1" x14ac:dyDescent="0.35"/>
    <row r="59" s="10" customFormat="1" x14ac:dyDescent="0.35"/>
    <row r="60" s="10" customFormat="1" x14ac:dyDescent="0.35"/>
    <row r="61" s="10" customFormat="1" x14ac:dyDescent="0.35"/>
    <row r="62" s="10" customFormat="1" x14ac:dyDescent="0.35"/>
    <row r="63" s="10" customFormat="1" x14ac:dyDescent="0.35"/>
    <row r="64" s="10" customFormat="1" x14ac:dyDescent="0.35"/>
    <row r="65" s="10" customFormat="1" x14ac:dyDescent="0.35"/>
    <row r="66" s="10" customFormat="1" x14ac:dyDescent="0.35"/>
    <row r="67" s="10" customFormat="1" x14ac:dyDescent="0.35"/>
    <row r="68" s="10" customFormat="1" x14ac:dyDescent="0.35"/>
    <row r="69" s="10" customFormat="1" x14ac:dyDescent="0.35"/>
    <row r="70" s="10" customFormat="1" x14ac:dyDescent="0.35"/>
    <row r="71" s="10" customFormat="1" x14ac:dyDescent="0.35"/>
    <row r="72" s="10" customFormat="1" x14ac:dyDescent="0.35"/>
    <row r="73" s="10" customFormat="1" x14ac:dyDescent="0.35"/>
    <row r="74" s="10" customFormat="1" x14ac:dyDescent="0.35"/>
    <row r="75" s="10" customFormat="1" x14ac:dyDescent="0.35"/>
    <row r="76" s="10" customFormat="1" x14ac:dyDescent="0.35"/>
    <row r="77" s="10" customFormat="1" x14ac:dyDescent="0.35"/>
    <row r="78" s="10" customFormat="1" x14ac:dyDescent="0.35"/>
    <row r="79" s="10" customFormat="1" x14ac:dyDescent="0.35"/>
    <row r="80" s="10" customFormat="1" x14ac:dyDescent="0.35"/>
    <row r="81" s="10" customFormat="1" x14ac:dyDescent="0.35"/>
    <row r="82" s="10" customFormat="1" x14ac:dyDescent="0.35"/>
    <row r="83" s="10" customFormat="1" x14ac:dyDescent="0.35"/>
    <row r="84" s="10" customFormat="1" x14ac:dyDescent="0.35"/>
    <row r="85" s="10" customFormat="1" x14ac:dyDescent="0.35"/>
    <row r="86" s="10" customFormat="1" x14ac:dyDescent="0.35"/>
    <row r="87" s="10" customFormat="1" x14ac:dyDescent="0.35"/>
    <row r="88" s="10" customFormat="1" x14ac:dyDescent="0.35"/>
    <row r="89" s="10" customFormat="1" x14ac:dyDescent="0.35"/>
    <row r="90" s="10" customFormat="1" x14ac:dyDescent="0.35"/>
    <row r="91" s="10" customFormat="1" x14ac:dyDescent="0.35"/>
    <row r="92" s="10" customFormat="1" x14ac:dyDescent="0.35"/>
    <row r="93" s="10" customFormat="1" x14ac:dyDescent="0.35"/>
    <row r="94" s="10" customFormat="1" x14ac:dyDescent="0.35"/>
    <row r="95" s="10" customFormat="1" x14ac:dyDescent="0.35"/>
    <row r="96" s="10" customFormat="1" x14ac:dyDescent="0.35"/>
    <row r="97" s="10" customFormat="1" x14ac:dyDescent="0.35"/>
    <row r="98" s="10" customFormat="1" x14ac:dyDescent="0.35"/>
    <row r="99" s="10" customFormat="1" x14ac:dyDescent="0.35"/>
    <row r="100" s="10" customFormat="1" x14ac:dyDescent="0.35"/>
    <row r="101" s="10" customFormat="1" x14ac:dyDescent="0.35"/>
    <row r="102" s="10" customFormat="1" x14ac:dyDescent="0.35"/>
    <row r="103" s="10" customFormat="1" x14ac:dyDescent="0.35"/>
    <row r="104" s="10" customFormat="1" x14ac:dyDescent="0.35"/>
    <row r="105" s="10" customFormat="1" x14ac:dyDescent="0.35"/>
    <row r="106" s="10" customFormat="1" x14ac:dyDescent="0.35"/>
    <row r="107" s="10" customFormat="1" x14ac:dyDescent="0.35"/>
    <row r="108" s="10" customFormat="1" x14ac:dyDescent="0.35"/>
    <row r="109" s="10" customFormat="1" x14ac:dyDescent="0.35"/>
    <row r="110" s="10" customFormat="1" x14ac:dyDescent="0.35"/>
    <row r="111" s="10" customFormat="1" x14ac:dyDescent="0.35"/>
    <row r="112" s="10" customFormat="1" x14ac:dyDescent="0.35"/>
    <row r="113" s="10" customFormat="1" x14ac:dyDescent="0.35"/>
    <row r="114" s="10" customFormat="1" x14ac:dyDescent="0.35"/>
    <row r="115" s="10" customFormat="1" x14ac:dyDescent="0.35"/>
    <row r="116" s="10" customFormat="1" x14ac:dyDescent="0.35"/>
    <row r="117" s="10" customFormat="1" x14ac:dyDescent="0.35"/>
    <row r="118" s="10" customFormat="1" x14ac:dyDescent="0.35"/>
    <row r="119" s="10" customFormat="1" x14ac:dyDescent="0.35"/>
    <row r="120" s="10" customFormat="1" x14ac:dyDescent="0.35"/>
    <row r="121" s="10" customFormat="1" x14ac:dyDescent="0.35"/>
    <row r="122" s="10" customFormat="1" x14ac:dyDescent="0.35"/>
    <row r="123" s="10" customFormat="1" x14ac:dyDescent="0.35"/>
    <row r="124" s="10" customFormat="1" x14ac:dyDescent="0.35"/>
    <row r="125" s="10" customFormat="1" x14ac:dyDescent="0.35"/>
    <row r="126" s="10" customFormat="1" x14ac:dyDescent="0.35"/>
    <row r="127" s="10" customFormat="1" x14ac:dyDescent="0.35"/>
    <row r="128" s="10" customFormat="1" x14ac:dyDescent="0.35"/>
    <row r="129" s="10" customFormat="1" x14ac:dyDescent="0.35"/>
    <row r="130" s="10" customFormat="1" x14ac:dyDescent="0.35"/>
    <row r="131" s="10" customFormat="1" x14ac:dyDescent="0.35"/>
    <row r="132" s="10" customFormat="1" x14ac:dyDescent="0.35"/>
    <row r="133" s="10" customFormat="1" x14ac:dyDescent="0.35"/>
    <row r="134" s="10" customFormat="1" x14ac:dyDescent="0.35"/>
    <row r="135" s="10" customFormat="1" x14ac:dyDescent="0.35"/>
    <row r="136" s="10" customFormat="1" x14ac:dyDescent="0.35"/>
    <row r="137" s="10" customFormat="1" x14ac:dyDescent="0.35"/>
    <row r="138" s="10" customFormat="1" x14ac:dyDescent="0.35"/>
    <row r="139" s="10" customFormat="1" x14ac:dyDescent="0.35"/>
    <row r="140" s="10" customFormat="1" x14ac:dyDescent="0.35"/>
  </sheetData>
  <sheetProtection algorithmName="SHA-512" hashValue="8LnRQI3lMvKPyQAjd4Qu2QO6uDhnH3FmYhfcP9R+OsDSqBI1lgH8rer+KV5WWvdo6pN/v763164ZBAY2Z6E4/g==" saltValue="Il2XD751rCnzxzv/LaTg4Q==" spinCount="100000" sheet="1" objects="1" scenarios="1"/>
  <mergeCells count="20">
    <mergeCell ref="A46:B46"/>
    <mergeCell ref="A47:B47"/>
    <mergeCell ref="A48:B48"/>
    <mergeCell ref="A43:B43"/>
    <mergeCell ref="A44:B44"/>
    <mergeCell ref="A45:B45"/>
    <mergeCell ref="A3:K3"/>
    <mergeCell ref="A4:K4"/>
    <mergeCell ref="A37:B37"/>
    <mergeCell ref="A41:B41"/>
    <mergeCell ref="A42:B42"/>
    <mergeCell ref="A5:K5"/>
    <mergeCell ref="A40:B40"/>
    <mergeCell ref="A28:B28"/>
    <mergeCell ref="A29:B29"/>
    <mergeCell ref="A23:C24"/>
    <mergeCell ref="D23:F24"/>
    <mergeCell ref="B6:F6"/>
    <mergeCell ref="B7:F7"/>
    <mergeCell ref="A39:B39"/>
  </mergeCells>
  <conditionalFormatting sqref="A6">
    <cfRule type="expression" dxfId="161" priority="558">
      <formula>OR($P$11="Solid", $P$11="Gas")</formula>
    </cfRule>
  </conditionalFormatting>
  <conditionalFormatting sqref="D10">
    <cfRule type="expression" dxfId="160" priority="134">
      <formula>$D$10="MISSING VALUE"</formula>
    </cfRule>
  </conditionalFormatting>
  <conditionalFormatting sqref="E10">
    <cfRule type="expression" dxfId="159" priority="24">
      <formula>$E$10="MISSING VALUE"</formula>
    </cfRule>
  </conditionalFormatting>
  <conditionalFormatting sqref="G10:G19">
    <cfRule type="expression" dxfId="158" priority="2">
      <formula>$G10=template_label_solid_warning</formula>
    </cfRule>
    <cfRule type="expression" dxfId="157" priority="5">
      <formula>$G10=template_label_gaseous_warning</formula>
    </cfRule>
    <cfRule type="expression" dxfId="156" priority="6">
      <formula>$G10=template_label_liquid_warning</formula>
    </cfRule>
  </conditionalFormatting>
  <conditionalFormatting sqref="P11">
    <cfRule type="expression" dxfId="155" priority="25">
      <formula>$P$11="MISSING VALUE"</formula>
    </cfRule>
  </conditionalFormatting>
  <conditionalFormatting sqref="P12">
    <cfRule type="expression" dxfId="154" priority="135">
      <formula>$P$12="MISSING VALUE"</formula>
    </cfRule>
  </conditionalFormatting>
  <conditionalFormatting sqref="Q16 U16 Y16 AC16 AG16 AK16 AO16 AS16 AW16 BA16">
    <cfRule type="expression" dxfId="153" priority="104">
      <formula>Q$16="Solid fuel: please change unit of measurement, select one among Gg, t, Kg and g"</formula>
    </cfRule>
    <cfRule type="expression" dxfId="152" priority="105">
      <formula>Q$16="Solid fuel: please select one unit of measurement among Gg, t, Kg and g"</formula>
    </cfRule>
    <cfRule type="expression" dxfId="151" priority="106">
      <formula>Q$16="Gaseous fuel: please change unit of measurement, select one among m³ and L"</formula>
    </cfRule>
    <cfRule type="expression" dxfId="150" priority="107">
      <formula>Q$16="Liquid fuel: please change unit of measurement, select one among m³ and L"</formula>
    </cfRule>
    <cfRule type="expression" dxfId="149" priority="108">
      <formula>Q$16="Gaseous fuel: please select one unit of measurement among m³ and L"</formula>
    </cfRule>
    <cfRule type="expression" dxfId="148" priority="109">
      <formula>Q$16="Liquid fuel: please select one unit of measurement among m³ and L"</formula>
    </cfRule>
  </conditionalFormatting>
  <conditionalFormatting sqref="T11">
    <cfRule type="expression" dxfId="147" priority="110">
      <formula>$T$11="MISSING VALUE"</formula>
    </cfRule>
  </conditionalFormatting>
  <conditionalFormatting sqref="T12">
    <cfRule type="expression" dxfId="146" priority="129">
      <formula>$T$12="MISSING VALUE"</formula>
    </cfRule>
  </conditionalFormatting>
  <conditionalFormatting sqref="X11">
    <cfRule type="expression" dxfId="145" priority="22">
      <formula>$T$11="MISSING VALUE"</formula>
    </cfRule>
  </conditionalFormatting>
  <conditionalFormatting sqref="X12">
    <cfRule type="expression" dxfId="144" priority="21">
      <formula>$T$12="MISSING VALUE"</formula>
    </cfRule>
  </conditionalFormatting>
  <conditionalFormatting sqref="AB11">
    <cfRule type="expression" dxfId="143" priority="20">
      <formula>$T$11="MISSING VALUE"</formula>
    </cfRule>
  </conditionalFormatting>
  <conditionalFormatting sqref="AB12">
    <cfRule type="expression" dxfId="142" priority="19">
      <formula>$T$12="MISSING VALUE"</formula>
    </cfRule>
  </conditionalFormatting>
  <conditionalFormatting sqref="AF11">
    <cfRule type="expression" dxfId="141" priority="18">
      <formula>$T$11="MISSING VALUE"</formula>
    </cfRule>
  </conditionalFormatting>
  <conditionalFormatting sqref="AF12">
    <cfRule type="expression" dxfId="140" priority="17">
      <formula>$T$12="MISSING VALUE"</formula>
    </cfRule>
  </conditionalFormatting>
  <conditionalFormatting sqref="AJ11">
    <cfRule type="expression" dxfId="139" priority="16">
      <formula>$T$11="MISSING VALUE"</formula>
    </cfRule>
  </conditionalFormatting>
  <conditionalFormatting sqref="AJ12">
    <cfRule type="expression" dxfId="138" priority="15">
      <formula>$T$12="MISSING VALUE"</formula>
    </cfRule>
  </conditionalFormatting>
  <conditionalFormatting sqref="AN11">
    <cfRule type="expression" dxfId="137" priority="14">
      <formula>$T$11="MISSING VALUE"</formula>
    </cfRule>
  </conditionalFormatting>
  <conditionalFormatting sqref="AN12">
    <cfRule type="expression" dxfId="136" priority="13">
      <formula>$T$12="MISSING VALUE"</formula>
    </cfRule>
  </conditionalFormatting>
  <conditionalFormatting sqref="AR11">
    <cfRule type="expression" dxfId="135" priority="12">
      <formula>$T$11="MISSING VALUE"</formula>
    </cfRule>
  </conditionalFormatting>
  <conditionalFormatting sqref="AR12">
    <cfRule type="expression" dxfId="134" priority="11">
      <formula>$T$12="MISSING VALUE"</formula>
    </cfRule>
  </conditionalFormatting>
  <conditionalFormatting sqref="AV11">
    <cfRule type="expression" dxfId="133" priority="10">
      <formula>$T$11="MISSING VALUE"</formula>
    </cfRule>
  </conditionalFormatting>
  <conditionalFormatting sqref="AV12">
    <cfRule type="expression" dxfId="132" priority="9">
      <formula>$T$12="MISSING VALUE"</formula>
    </cfRule>
  </conditionalFormatting>
  <conditionalFormatting sqref="AZ11">
    <cfRule type="expression" dxfId="131" priority="8">
      <formula>$T$11="MISSING VALUE"</formula>
    </cfRule>
  </conditionalFormatting>
  <conditionalFormatting sqref="AZ12">
    <cfRule type="expression" dxfId="130" priority="7">
      <formula>$T$12="MISSING VALUE"</formula>
    </cfRule>
  </conditionalFormatting>
  <dataValidations count="8">
    <dataValidation type="custom" allowBlank="1" showInputMessage="1" showErrorMessage="1" sqref="L30" xr:uid="{24F78D8F-F8C3-4714-A04F-7D7BFB1DC81C}">
      <formula1>IFERROR(L33, "")</formula1>
    </dataValidation>
    <dataValidation type="custom" allowBlank="1" showInputMessage="1" showErrorMessage="1" sqref="L33" xr:uid="{AD6B99AB-0813-4A8D-A012-A2DA70342FEF}">
      <formula1>IFERROR(IF(OR(L31="", L32=""), "", L31*L32), "")</formula1>
    </dataValidation>
    <dataValidation allowBlank="1" showInputMessage="1" showErrorMessage="1" promptTitle="Missing value (State of matter)" prompt="When the cell displays &quot;MISSING VALUE&quot;, please provide the State of matter for the respective fuel writing &quot;Solid&quot;, &quot;Liquid&quot; or &quot;Gaseous&quot; in the appropriate cell." sqref="P11" xr:uid="{763E0B2F-2A18-4691-AD9A-934253234B4C}"/>
    <dataValidation type="decimal" operator="equal" showInputMessage="1" showErrorMessage="1" prompt="Please insert only numbers" sqref="AB17 AV17 AR17" xr:uid="{2C012787-644F-4DB7-9CE9-2851E7D035C6}">
      <formula1>AB17</formula1>
    </dataValidation>
    <dataValidation type="custom" showInputMessage="1" showErrorMessage="1" sqref="A33" xr:uid="{77D95CA7-2A88-40A0-9A40-C05AFD57E69C}">
      <formula1>IFERROR(IF(OR(#REF!="", #REF!=""), "", #REF!*#REF!), "")</formula1>
    </dataValidation>
    <dataValidation type="decimal" operator="equal" allowBlank="1" showInputMessage="1" showErrorMessage="1" sqref="C10:C19" xr:uid="{E05E5971-DDD7-4F91-B75D-B91FED145BD0}">
      <formula1>C10</formula1>
    </dataValidation>
    <dataValidation type="list" allowBlank="1" showInputMessage="1" showErrorMessage="1" sqref="A10:A19" xr:uid="{E2500B57-E461-4D88-81F5-2BA7ED7A7248}">
      <formula1>enum_ListFuel</formula1>
    </dataValidation>
    <dataValidation type="list" allowBlank="1" showInputMessage="1" showErrorMessage="1" sqref="B10:B19" xr:uid="{A2B4D117-1BAE-4CD7-8DF1-00F8B39C9542}">
      <formula1>enum_ListVolumeMass</formula1>
    </dataValidation>
  </dataValidations>
  <hyperlinks>
    <hyperlink ref="I19" location="template_further_notes" display="7. Further notes below" xr:uid="{5BA248E8-6D4E-4355-8574-344E2763FBC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custom" allowBlank="1" showInputMessage="1" showErrorMessage="1" xr:uid="{0911D343-E2FA-43DA-8B92-03D12886BF32}">
          <x14:formula1>
            <xm:f>IFERROR(VLOOKUP(T10, 'Fuel Conversion Parameters'!#REF!, 3, FALSE), "")</xm:f>
          </x14:formula1>
          <xm:sqref>L32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275E0-BDB4-46BC-B0FA-402804C0EE4F}">
  <dimension ref="A1:AY108"/>
  <sheetViews>
    <sheetView zoomScaleNormal="100" workbookViewId="0"/>
  </sheetViews>
  <sheetFormatPr defaultColWidth="8.90625" defaultRowHeight="14.5" x14ac:dyDescent="0.35"/>
  <cols>
    <col min="1" max="1" width="82.453125" customWidth="1"/>
    <col min="2" max="2" width="14.08984375" bestFit="1" customWidth="1"/>
    <col min="3" max="3" width="18.6328125" bestFit="1" customWidth="1"/>
    <col min="4" max="4" width="20.54296875" bestFit="1" customWidth="1"/>
    <col min="5" max="5" width="21.08984375" bestFit="1" customWidth="1"/>
    <col min="6" max="6" width="25.453125" bestFit="1" customWidth="1"/>
    <col min="7" max="8" width="15.36328125" hidden="1" customWidth="1"/>
    <col min="9" max="9" width="20.453125" hidden="1" customWidth="1"/>
    <col min="10" max="11" width="8.90625" hidden="1" customWidth="1"/>
    <col min="12" max="12" width="23.90625" hidden="1" customWidth="1"/>
    <col min="13" max="13" width="20.6328125" hidden="1" customWidth="1"/>
    <col min="14" max="14" width="17.6328125" hidden="1" customWidth="1"/>
    <col min="15" max="15" width="14.6328125" hidden="1" customWidth="1"/>
    <col min="16" max="16" width="27.08984375" hidden="1" customWidth="1"/>
    <col min="17" max="17" width="23.90625" hidden="1" customWidth="1"/>
    <col min="18" max="18" width="20.6328125" hidden="1" customWidth="1"/>
    <col min="19" max="19" width="17.6328125" hidden="1" customWidth="1"/>
    <col min="20" max="21" width="8.90625" hidden="1" customWidth="1"/>
    <col min="22" max="22" width="38.54296875" hidden="1" customWidth="1"/>
    <col min="23" max="24" width="42.6328125" hidden="1" customWidth="1"/>
    <col min="25" max="25" width="48.6328125" hidden="1" customWidth="1"/>
    <col min="26" max="26" width="33.453125" hidden="1" customWidth="1"/>
    <col min="27" max="27" width="36.453125" hidden="1" customWidth="1"/>
    <col min="28" max="28" width="39.54296875" hidden="1" customWidth="1"/>
    <col min="29" max="29" width="42.54296875" hidden="1" customWidth="1"/>
    <col min="30" max="30" width="27.453125" hidden="1" customWidth="1"/>
    <col min="31" max="31" width="30.453125" hidden="1" customWidth="1"/>
    <col min="32" max="32" width="33.54296875" hidden="1" customWidth="1"/>
    <col min="33" max="33" width="36.6328125" hidden="1" customWidth="1"/>
    <col min="34" max="34" width="24.36328125" hidden="1" customWidth="1"/>
    <col min="35" max="35" width="27.08984375" hidden="1" customWidth="1"/>
    <col min="36" max="36" width="30.453125" hidden="1" customWidth="1"/>
    <col min="37" max="37" width="33.36328125" hidden="1" customWidth="1"/>
    <col min="38" max="39" width="8.90625" hidden="1" customWidth="1"/>
    <col min="40" max="40" width="28" hidden="1" customWidth="1"/>
    <col min="41" max="41" width="29" hidden="1" customWidth="1"/>
    <col min="42" max="42" width="26" hidden="1" customWidth="1"/>
    <col min="43" max="43" width="24.90625" hidden="1" customWidth="1"/>
    <col min="44" max="45" width="21.90625" hidden="1" customWidth="1"/>
    <col min="46" max="46" width="24.6328125" hidden="1" customWidth="1"/>
    <col min="47" max="47" width="18.08984375" hidden="1" customWidth="1"/>
    <col min="48" max="48" width="21.36328125" hidden="1" customWidth="1"/>
    <col min="49" max="49" width="13.453125" hidden="1" customWidth="1"/>
    <col min="50" max="50" width="22.54296875" hidden="1" customWidth="1"/>
    <col min="51" max="51" width="7.08984375" customWidth="1"/>
    <col min="52" max="52" width="9.08984375" customWidth="1"/>
  </cols>
  <sheetData>
    <row r="1" spans="1:51" ht="15" thickBot="1" x14ac:dyDescent="0.4">
      <c r="A1" s="177" t="s">
        <v>2935</v>
      </c>
      <c r="B1" s="178" t="s">
        <v>3019</v>
      </c>
      <c r="C1" s="179" t="s">
        <v>3073</v>
      </c>
      <c r="D1" s="180" t="s">
        <v>3074</v>
      </c>
      <c r="E1" s="181" t="s">
        <v>3075</v>
      </c>
      <c r="F1" s="219" t="s">
        <v>3578</v>
      </c>
      <c r="G1" s="25" t="s">
        <v>2936</v>
      </c>
      <c r="H1" s="85" t="s">
        <v>2937</v>
      </c>
      <c r="I1" s="25" t="s">
        <v>2938</v>
      </c>
      <c r="J1" s="25" t="s">
        <v>3671</v>
      </c>
      <c r="K1" s="26" t="s">
        <v>2939</v>
      </c>
      <c r="L1" s="26" t="s">
        <v>2940</v>
      </c>
      <c r="M1" s="26" t="s">
        <v>2941</v>
      </c>
      <c r="N1" s="26" t="s">
        <v>2942</v>
      </c>
      <c r="O1" s="26" t="s">
        <v>2943</v>
      </c>
      <c r="P1" s="26" t="s">
        <v>2944</v>
      </c>
      <c r="Q1" s="26" t="s">
        <v>2945</v>
      </c>
      <c r="R1" s="26" t="s">
        <v>2946</v>
      </c>
      <c r="S1" s="26" t="s">
        <v>2947</v>
      </c>
      <c r="T1" s="14"/>
      <c r="U1" s="26" t="s">
        <v>2939</v>
      </c>
      <c r="V1" s="26" t="s">
        <v>2948</v>
      </c>
      <c r="W1" s="26" t="s">
        <v>2949</v>
      </c>
      <c r="X1" s="26" t="s">
        <v>2950</v>
      </c>
      <c r="Y1" s="26" t="s">
        <v>2951</v>
      </c>
      <c r="Z1" s="26" t="s">
        <v>3020</v>
      </c>
      <c r="AA1" s="26" t="s">
        <v>3021</v>
      </c>
      <c r="AB1" s="26" t="s">
        <v>3022</v>
      </c>
      <c r="AC1" s="26" t="s">
        <v>3023</v>
      </c>
      <c r="AD1" s="26" t="s">
        <v>2952</v>
      </c>
      <c r="AE1" s="26" t="s">
        <v>2953</v>
      </c>
      <c r="AF1" s="26" t="s">
        <v>2954</v>
      </c>
      <c r="AG1" s="26" t="s">
        <v>2955</v>
      </c>
      <c r="AH1" s="26" t="s">
        <v>2956</v>
      </c>
      <c r="AI1" s="26" t="s">
        <v>2957</v>
      </c>
      <c r="AJ1" s="26" t="s">
        <v>2958</v>
      </c>
      <c r="AK1" s="26" t="s">
        <v>2959</v>
      </c>
      <c r="AL1" s="8"/>
      <c r="AM1" s="192" t="s">
        <v>2939</v>
      </c>
      <c r="AN1" s="193" t="s">
        <v>3564</v>
      </c>
      <c r="AO1" s="193" t="s">
        <v>3571</v>
      </c>
      <c r="AP1" s="193" t="s">
        <v>3565</v>
      </c>
      <c r="AQ1" s="193" t="s">
        <v>3566</v>
      </c>
      <c r="AR1" s="193" t="s">
        <v>3567</v>
      </c>
      <c r="AS1" s="193" t="s">
        <v>3568</v>
      </c>
      <c r="AT1" s="193" t="s">
        <v>3569</v>
      </c>
      <c r="AU1" s="193" t="s">
        <v>3570</v>
      </c>
      <c r="AW1" s="179" t="s">
        <v>3019</v>
      </c>
      <c r="AX1" s="219" t="s">
        <v>3578</v>
      </c>
      <c r="AY1" s="308" t="s">
        <v>3677</v>
      </c>
    </row>
    <row r="2" spans="1:51" ht="15" thickBot="1" x14ac:dyDescent="0.4">
      <c r="A2" s="377" t="s">
        <v>2960</v>
      </c>
      <c r="B2" s="182" t="s">
        <v>2961</v>
      </c>
      <c r="C2" s="183">
        <v>26.7</v>
      </c>
      <c r="D2" s="300"/>
      <c r="E2" s="301"/>
      <c r="F2" s="224" t="s">
        <v>3051</v>
      </c>
      <c r="G2" s="222" t="s">
        <v>2962</v>
      </c>
      <c r="H2" s="54" t="s">
        <v>2963</v>
      </c>
      <c r="I2" s="3" t="s">
        <v>2964</v>
      </c>
      <c r="J2" s="1" t="s">
        <v>2962</v>
      </c>
      <c r="K2" s="27" t="s">
        <v>2940</v>
      </c>
      <c r="L2" s="28">
        <v>1</v>
      </c>
      <c r="M2" s="29">
        <v>1E-3</v>
      </c>
      <c r="N2" s="29">
        <v>9.9999999999999995E-7</v>
      </c>
      <c r="O2" s="29">
        <v>1.0000000000000001E-9</v>
      </c>
      <c r="P2" s="29">
        <v>1000</v>
      </c>
      <c r="Q2" s="29">
        <v>1</v>
      </c>
      <c r="R2" s="29">
        <v>1E-3</v>
      </c>
      <c r="S2" s="30">
        <v>9.9999999999999995E-7</v>
      </c>
      <c r="U2" s="27" t="s">
        <v>2948</v>
      </c>
      <c r="V2" s="41">
        <v>1</v>
      </c>
      <c r="W2" s="42">
        <v>1000</v>
      </c>
      <c r="X2" s="42">
        <v>1000000</v>
      </c>
      <c r="Y2" s="42">
        <v>1000000000</v>
      </c>
      <c r="Z2" s="42">
        <v>1E-3</v>
      </c>
      <c r="AA2" s="42">
        <v>1</v>
      </c>
      <c r="AB2" s="42">
        <v>1000</v>
      </c>
      <c r="AC2" s="42">
        <v>1000000</v>
      </c>
      <c r="AD2" s="42">
        <v>9.9999999999999998E-13</v>
      </c>
      <c r="AE2" s="42">
        <v>1.0000000000000001E-9</v>
      </c>
      <c r="AF2" s="42">
        <v>9.9999999999999995E-7</v>
      </c>
      <c r="AG2" s="42">
        <v>1E-3</v>
      </c>
      <c r="AH2" s="47">
        <v>2.7799999999999998E-13</v>
      </c>
      <c r="AI2" s="47">
        <v>2.7800000000000002E-10</v>
      </c>
      <c r="AJ2" s="47">
        <v>2.7799999999999997E-7</v>
      </c>
      <c r="AK2" s="48">
        <v>2.7799999999999998E-4</v>
      </c>
      <c r="AM2" s="194" t="s">
        <v>3564</v>
      </c>
      <c r="AN2" s="195">
        <v>1</v>
      </c>
      <c r="AO2" s="195">
        <v>0.1</v>
      </c>
      <c r="AP2" s="196">
        <v>0.01</v>
      </c>
      <c r="AQ2" s="196">
        <v>1E-3</v>
      </c>
      <c r="AR2" s="196">
        <v>9.9999999999999995E-7</v>
      </c>
      <c r="AS2" s="196">
        <v>9.9999999999999995E-7</v>
      </c>
      <c r="AT2" s="196">
        <v>1.0000000000000001E-9</v>
      </c>
      <c r="AU2" s="197">
        <v>9.9999999999999998E-13</v>
      </c>
      <c r="AW2" s="3" t="s">
        <v>2961</v>
      </c>
      <c r="AX2" s="3" t="s">
        <v>3050</v>
      </c>
      <c r="AY2" s="309"/>
    </row>
    <row r="3" spans="1:51" ht="15" thickBot="1" x14ac:dyDescent="0.4">
      <c r="A3" s="378" t="s">
        <v>2965</v>
      </c>
      <c r="B3" s="182" t="s">
        <v>2966</v>
      </c>
      <c r="C3" s="184">
        <v>44.3</v>
      </c>
      <c r="D3" s="148">
        <v>0.71</v>
      </c>
      <c r="E3" s="302"/>
      <c r="F3" s="225" t="s">
        <v>3051</v>
      </c>
      <c r="G3" s="223" t="s">
        <v>2967</v>
      </c>
      <c r="H3" s="7" t="s">
        <v>2968</v>
      </c>
      <c r="I3" s="1" t="s">
        <v>2969</v>
      </c>
      <c r="J3" s="1" t="s">
        <v>2967</v>
      </c>
      <c r="K3" s="31" t="s">
        <v>2941</v>
      </c>
      <c r="L3" s="32">
        <v>1000</v>
      </c>
      <c r="M3" s="33">
        <v>1</v>
      </c>
      <c r="N3" s="33">
        <v>1E-3</v>
      </c>
      <c r="O3" s="33">
        <v>9.9999999999999995E-7</v>
      </c>
      <c r="P3" s="33">
        <v>1000000</v>
      </c>
      <c r="Q3" s="33">
        <v>1000</v>
      </c>
      <c r="R3" s="33">
        <v>1</v>
      </c>
      <c r="S3" s="34">
        <v>1E-3</v>
      </c>
      <c r="U3" s="31" t="s">
        <v>2949</v>
      </c>
      <c r="V3" s="40">
        <v>1E-3</v>
      </c>
      <c r="W3" s="39">
        <v>1</v>
      </c>
      <c r="X3" s="39">
        <v>1000</v>
      </c>
      <c r="Y3" s="39">
        <v>1000000</v>
      </c>
      <c r="Z3" s="39">
        <v>9.9999999999999995E-7</v>
      </c>
      <c r="AA3" s="39">
        <v>1E-3</v>
      </c>
      <c r="AB3" s="39">
        <v>1</v>
      </c>
      <c r="AC3" s="39">
        <v>1000</v>
      </c>
      <c r="AD3" s="39">
        <v>1.0000000000000001E-15</v>
      </c>
      <c r="AE3" s="39">
        <v>9.9999999999999998E-13</v>
      </c>
      <c r="AF3" s="39">
        <v>1.0000000000000001E-9</v>
      </c>
      <c r="AG3" s="39">
        <v>9.9999999999999995E-7</v>
      </c>
      <c r="AH3" s="45">
        <v>2.7799999999999998E-16</v>
      </c>
      <c r="AI3" s="45">
        <v>2.7800000000000002E-10</v>
      </c>
      <c r="AJ3" s="45">
        <v>2.7799999999999997E-7</v>
      </c>
      <c r="AK3" s="49">
        <v>2.7799999999999998E-4</v>
      </c>
      <c r="AM3" s="194" t="s">
        <v>3571</v>
      </c>
      <c r="AN3" s="198">
        <v>10</v>
      </c>
      <c r="AO3" s="198">
        <v>1</v>
      </c>
      <c r="AP3" s="199">
        <v>0.1</v>
      </c>
      <c r="AQ3" s="199">
        <v>0.01</v>
      </c>
      <c r="AR3" s="199">
        <v>1.0000000000000001E-5</v>
      </c>
      <c r="AS3" s="199">
        <v>1.0000000000000001E-5</v>
      </c>
      <c r="AT3" s="199">
        <v>1E-8</v>
      </c>
      <c r="AU3" s="200">
        <v>9.9999999999999994E-12</v>
      </c>
      <c r="AW3" s="1" t="s">
        <v>2966</v>
      </c>
      <c r="AX3" s="1" t="s">
        <v>3051</v>
      </c>
      <c r="AY3" s="309"/>
    </row>
    <row r="4" spans="1:51" ht="15" thickBot="1" x14ac:dyDescent="0.4">
      <c r="A4" s="378" t="s">
        <v>2970</v>
      </c>
      <c r="B4" s="182" t="s">
        <v>2966</v>
      </c>
      <c r="C4" s="184">
        <v>27</v>
      </c>
      <c r="D4" s="148">
        <v>0.85</v>
      </c>
      <c r="E4" s="302"/>
      <c r="F4" s="225" t="s">
        <v>3050</v>
      </c>
      <c r="G4" s="223" t="s">
        <v>2971</v>
      </c>
      <c r="J4" s="1" t="s">
        <v>2971</v>
      </c>
      <c r="K4" s="31" t="s">
        <v>2942</v>
      </c>
      <c r="L4" s="32">
        <v>1000000</v>
      </c>
      <c r="M4" s="33">
        <v>1000</v>
      </c>
      <c r="N4" s="33">
        <v>1</v>
      </c>
      <c r="O4" s="33">
        <v>1E-3</v>
      </c>
      <c r="P4" s="33">
        <v>1000000000</v>
      </c>
      <c r="Q4" s="33">
        <v>1000000</v>
      </c>
      <c r="R4" s="33">
        <v>1000</v>
      </c>
      <c r="S4" s="34">
        <v>1</v>
      </c>
      <c r="U4" s="31" t="s">
        <v>2950</v>
      </c>
      <c r="V4" s="40">
        <v>9.9999999999999995E-7</v>
      </c>
      <c r="W4" s="39">
        <v>1E-3</v>
      </c>
      <c r="X4" s="39">
        <v>1</v>
      </c>
      <c r="Y4" s="39">
        <v>1000</v>
      </c>
      <c r="Z4" s="39">
        <v>1.0000000000000001E-9</v>
      </c>
      <c r="AA4" s="39">
        <v>9.9999999999999995E-7</v>
      </c>
      <c r="AB4" s="39">
        <v>1</v>
      </c>
      <c r="AC4" s="39">
        <v>1000</v>
      </c>
      <c r="AD4" s="39">
        <v>1.0000000000000001E-18</v>
      </c>
      <c r="AE4" s="39">
        <v>1.0000000000000001E-15</v>
      </c>
      <c r="AF4" s="39">
        <v>9.9999999999999998E-13</v>
      </c>
      <c r="AG4" s="39">
        <v>1.0000000000000001E-9</v>
      </c>
      <c r="AH4" s="45">
        <v>2.7799999999999998E-19</v>
      </c>
      <c r="AI4" s="45">
        <v>2.7799999999999998E-13</v>
      </c>
      <c r="AJ4" s="45">
        <v>2.7800000000000002E-10</v>
      </c>
      <c r="AK4" s="49">
        <v>2.7799999999999997E-7</v>
      </c>
      <c r="AM4" s="194" t="s">
        <v>3565</v>
      </c>
      <c r="AN4" s="198">
        <v>100</v>
      </c>
      <c r="AO4" s="198">
        <v>10</v>
      </c>
      <c r="AP4" s="199">
        <v>1</v>
      </c>
      <c r="AQ4" s="199">
        <v>0.1</v>
      </c>
      <c r="AR4" s="199">
        <v>1E-4</v>
      </c>
      <c r="AS4" s="199">
        <v>1E-4</v>
      </c>
      <c r="AT4" s="199">
        <v>9.9999999999999995E-8</v>
      </c>
      <c r="AU4" s="200">
        <v>1E-10</v>
      </c>
      <c r="AW4" s="1" t="s">
        <v>3580</v>
      </c>
      <c r="AX4" s="1"/>
      <c r="AY4" s="309"/>
    </row>
    <row r="5" spans="1:51" ht="15" thickBot="1" x14ac:dyDescent="0.4">
      <c r="A5" s="378" t="s">
        <v>2972</v>
      </c>
      <c r="B5" s="182" t="s">
        <v>2966</v>
      </c>
      <c r="C5" s="184">
        <v>27</v>
      </c>
      <c r="D5" s="218">
        <v>0.75</v>
      </c>
      <c r="E5" s="303"/>
      <c r="F5" s="225" t="s">
        <v>3050</v>
      </c>
      <c r="G5" s="223" t="s">
        <v>2973</v>
      </c>
      <c r="J5" s="1" t="s">
        <v>2973</v>
      </c>
      <c r="K5" s="31" t="s">
        <v>2943</v>
      </c>
      <c r="L5" s="32">
        <v>1000000000</v>
      </c>
      <c r="M5" s="33">
        <v>1000000</v>
      </c>
      <c r="N5" s="33">
        <v>1000</v>
      </c>
      <c r="O5" s="33">
        <v>1</v>
      </c>
      <c r="P5" s="33">
        <v>1000000000000</v>
      </c>
      <c r="Q5" s="33">
        <v>1000000000</v>
      </c>
      <c r="R5" s="33">
        <v>1000000</v>
      </c>
      <c r="S5" s="34">
        <v>1000</v>
      </c>
      <c r="U5" s="31" t="s">
        <v>2951</v>
      </c>
      <c r="V5" s="40">
        <v>1.0000000000000001E-9</v>
      </c>
      <c r="W5" s="39">
        <v>9.9999999999999995E-7</v>
      </c>
      <c r="X5" s="39">
        <v>1E-3</v>
      </c>
      <c r="Y5" s="39">
        <v>1</v>
      </c>
      <c r="Z5" s="39">
        <v>9.9999999999999998E-13</v>
      </c>
      <c r="AA5" s="39">
        <v>9.9999999999999995E-7</v>
      </c>
      <c r="AB5" s="39">
        <v>1E-3</v>
      </c>
      <c r="AC5" s="39">
        <v>1</v>
      </c>
      <c r="AD5" s="39">
        <v>9.9999999999999991E-22</v>
      </c>
      <c r="AE5" s="39">
        <v>1.0000000000000001E-18</v>
      </c>
      <c r="AF5" s="39">
        <v>1.0000000000000001E-15</v>
      </c>
      <c r="AG5" s="39">
        <v>9.9999999999999998E-13</v>
      </c>
      <c r="AH5" s="45">
        <v>2.7800000000000001E-22</v>
      </c>
      <c r="AI5" s="45">
        <v>2.7799999999999998E-16</v>
      </c>
      <c r="AJ5" s="45">
        <v>2.7799999999999998E-13</v>
      </c>
      <c r="AK5" s="49">
        <v>2.7800000000000002E-10</v>
      </c>
      <c r="AM5" s="194" t="s">
        <v>3566</v>
      </c>
      <c r="AN5" s="198">
        <v>1000</v>
      </c>
      <c r="AO5" s="198">
        <v>100</v>
      </c>
      <c r="AP5" s="199">
        <v>10</v>
      </c>
      <c r="AQ5" s="199">
        <v>1</v>
      </c>
      <c r="AR5" s="199">
        <v>1E-3</v>
      </c>
      <c r="AS5" s="199">
        <v>1E-3</v>
      </c>
      <c r="AT5" s="199">
        <v>9.9999999999999995E-7</v>
      </c>
      <c r="AU5" s="200">
        <v>1.0000000000000001E-9</v>
      </c>
      <c r="AW5" s="1"/>
      <c r="AX5" s="51"/>
      <c r="AY5" s="310" t="s">
        <v>3586</v>
      </c>
    </row>
    <row r="6" spans="1:51" ht="15" thickBot="1" x14ac:dyDescent="0.4">
      <c r="A6" s="378" t="s">
        <v>2974</v>
      </c>
      <c r="B6" s="182" t="s">
        <v>2966</v>
      </c>
      <c r="C6" s="184">
        <v>40.200000000000003</v>
      </c>
      <c r="D6" s="218">
        <v>1.0349999999999999</v>
      </c>
      <c r="E6" s="302"/>
      <c r="F6" s="225" t="s">
        <v>3051</v>
      </c>
      <c r="J6" s="1" t="s">
        <v>2963</v>
      </c>
      <c r="K6" s="31" t="s">
        <v>2944</v>
      </c>
      <c r="L6" s="32">
        <v>1E-3</v>
      </c>
      <c r="M6" s="33">
        <v>9.9999999999999995E-7</v>
      </c>
      <c r="N6" s="33">
        <v>1.0000000000000001E-9</v>
      </c>
      <c r="O6" s="33">
        <v>9.9999999999999998E-13</v>
      </c>
      <c r="P6" s="33">
        <v>1</v>
      </c>
      <c r="Q6" s="33">
        <v>1E-3</v>
      </c>
      <c r="R6" s="33">
        <v>9.9999999999999995E-7</v>
      </c>
      <c r="S6" s="34">
        <v>1.0000000000000001E-9</v>
      </c>
      <c r="U6" s="31" t="s">
        <v>3020</v>
      </c>
      <c r="V6" s="40">
        <v>1000</v>
      </c>
      <c r="W6" s="39">
        <v>1000000</v>
      </c>
      <c r="X6" s="39">
        <v>1000000000</v>
      </c>
      <c r="Y6" s="39">
        <v>1000000000000</v>
      </c>
      <c r="Z6" s="39">
        <v>1</v>
      </c>
      <c r="AA6" s="39">
        <v>1000</v>
      </c>
      <c r="AB6" s="39">
        <v>1000000</v>
      </c>
      <c r="AC6" s="39">
        <v>1000000000</v>
      </c>
      <c r="AD6" s="39">
        <v>1.0000000000000001E-9</v>
      </c>
      <c r="AE6" s="39">
        <v>9.9999999999999995E-7</v>
      </c>
      <c r="AF6" s="39">
        <v>1E-3</v>
      </c>
      <c r="AG6" s="39">
        <v>1</v>
      </c>
      <c r="AH6" s="45">
        <v>2.7800000000000002E-10</v>
      </c>
      <c r="AI6" s="45">
        <v>2.7799999999999997E-7</v>
      </c>
      <c r="AJ6" s="45">
        <v>2.7799999999999998E-4</v>
      </c>
      <c r="AK6" s="49">
        <v>0.27800000000000002</v>
      </c>
      <c r="AM6" s="194" t="s">
        <v>3567</v>
      </c>
      <c r="AN6" s="198">
        <v>1000000</v>
      </c>
      <c r="AO6" s="198">
        <v>100000</v>
      </c>
      <c r="AP6" s="199">
        <v>10000</v>
      </c>
      <c r="AQ6" s="199">
        <v>1000</v>
      </c>
      <c r="AR6" s="199">
        <v>1</v>
      </c>
      <c r="AS6" s="199">
        <v>1</v>
      </c>
      <c r="AT6" s="199">
        <v>1E-3</v>
      </c>
      <c r="AU6" s="200">
        <v>9.9999999999999995E-7</v>
      </c>
      <c r="AY6" s="310" t="s">
        <v>3587</v>
      </c>
    </row>
    <row r="7" spans="1:51" ht="15" thickBot="1" x14ac:dyDescent="0.4">
      <c r="A7" s="378" t="s">
        <v>2975</v>
      </c>
      <c r="B7" s="182" t="s">
        <v>3580</v>
      </c>
      <c r="C7" s="184">
        <v>2.4700000000000002</v>
      </c>
      <c r="D7" s="304"/>
      <c r="E7" s="220">
        <v>1.25</v>
      </c>
      <c r="F7" s="225" t="s">
        <v>3051</v>
      </c>
      <c r="J7" s="1" t="s">
        <v>2968</v>
      </c>
      <c r="K7" s="31" t="s">
        <v>2945</v>
      </c>
      <c r="L7" s="32">
        <v>1</v>
      </c>
      <c r="M7" s="33">
        <v>1E-3</v>
      </c>
      <c r="N7" s="33">
        <v>9.9999999999999995E-7</v>
      </c>
      <c r="O7" s="33">
        <v>1.0000000000000001E-9</v>
      </c>
      <c r="P7" s="33">
        <v>1000</v>
      </c>
      <c r="Q7" s="33">
        <v>1</v>
      </c>
      <c r="R7" s="33">
        <v>1E-3</v>
      </c>
      <c r="S7" s="34">
        <v>9.9999999999999995E-7</v>
      </c>
      <c r="U7" s="31" t="s">
        <v>3021</v>
      </c>
      <c r="V7" s="40">
        <v>1</v>
      </c>
      <c r="W7" s="39">
        <v>1000</v>
      </c>
      <c r="X7" s="39">
        <v>1000000</v>
      </c>
      <c r="Y7" s="39">
        <v>1000000000</v>
      </c>
      <c r="Z7" s="39">
        <v>1E-3</v>
      </c>
      <c r="AA7" s="39">
        <v>1</v>
      </c>
      <c r="AB7" s="39">
        <v>1000</v>
      </c>
      <c r="AC7" s="39">
        <v>1000000</v>
      </c>
      <c r="AD7" s="39">
        <v>9.9999999999999998E-13</v>
      </c>
      <c r="AE7" s="39">
        <v>1.0000000000000001E-9</v>
      </c>
      <c r="AF7" s="39">
        <v>9.9999999999999995E-7</v>
      </c>
      <c r="AG7" s="39">
        <v>1E-3</v>
      </c>
      <c r="AH7" s="45">
        <v>2.7799999999999998E-13</v>
      </c>
      <c r="AI7" s="45">
        <v>2.7800000000000002E-10</v>
      </c>
      <c r="AJ7" s="45">
        <v>2.7799999999999997E-7</v>
      </c>
      <c r="AK7" s="49">
        <v>2.7799999999999998E-4</v>
      </c>
      <c r="AM7" s="194" t="s">
        <v>3568</v>
      </c>
      <c r="AN7" s="198">
        <v>1000000</v>
      </c>
      <c r="AO7" s="198">
        <v>100000</v>
      </c>
      <c r="AP7" s="199">
        <v>10000</v>
      </c>
      <c r="AQ7" s="199">
        <v>1000</v>
      </c>
      <c r="AR7" s="199">
        <v>1</v>
      </c>
      <c r="AS7" s="199">
        <v>1</v>
      </c>
      <c r="AT7" s="199">
        <v>1E-3</v>
      </c>
      <c r="AU7" s="200">
        <v>9.9999999999999995E-7</v>
      </c>
      <c r="AY7" s="310" t="s">
        <v>3588</v>
      </c>
    </row>
    <row r="8" spans="1:51" ht="15" thickBot="1" x14ac:dyDescent="0.4">
      <c r="A8" s="378" t="s">
        <v>2976</v>
      </c>
      <c r="B8" s="182" t="s">
        <v>2961</v>
      </c>
      <c r="C8" s="184">
        <v>20.7</v>
      </c>
      <c r="D8" s="304"/>
      <c r="E8" s="302"/>
      <c r="F8" s="225" t="s">
        <v>3051</v>
      </c>
      <c r="K8" s="31" t="s">
        <v>2946</v>
      </c>
      <c r="L8" s="32">
        <v>1000</v>
      </c>
      <c r="M8" s="33">
        <v>1</v>
      </c>
      <c r="N8" s="33">
        <v>1E-3</v>
      </c>
      <c r="O8" s="33">
        <v>1E-3</v>
      </c>
      <c r="P8" s="33">
        <v>1000000</v>
      </c>
      <c r="Q8" s="33">
        <v>1000</v>
      </c>
      <c r="R8" s="33">
        <v>1</v>
      </c>
      <c r="S8" s="34">
        <v>1E-3</v>
      </c>
      <c r="U8" s="31" t="s">
        <v>3022</v>
      </c>
      <c r="V8" s="40">
        <v>1E-3</v>
      </c>
      <c r="W8" s="39">
        <v>1</v>
      </c>
      <c r="X8" s="39">
        <v>1000</v>
      </c>
      <c r="Y8" s="39">
        <v>1000000</v>
      </c>
      <c r="Z8" s="39">
        <v>9.9999999999999995E-7</v>
      </c>
      <c r="AA8" s="39">
        <v>1E-3</v>
      </c>
      <c r="AB8" s="39">
        <v>1</v>
      </c>
      <c r="AC8" s="39">
        <v>1000</v>
      </c>
      <c r="AD8" s="39">
        <v>1.0000000000000001E-15</v>
      </c>
      <c r="AE8" s="39">
        <v>9.9999999999999998E-13</v>
      </c>
      <c r="AF8" s="39">
        <v>1.0000000000000001E-9</v>
      </c>
      <c r="AG8" s="39">
        <v>9.9999999999999995E-7</v>
      </c>
      <c r="AH8" s="45">
        <v>2.7799999999999998E-16</v>
      </c>
      <c r="AI8" s="45">
        <v>2.7800000000000002E-10</v>
      </c>
      <c r="AJ8" s="45">
        <v>2.7799999999999997E-7</v>
      </c>
      <c r="AK8" s="49">
        <v>2.7799999999999998E-4</v>
      </c>
      <c r="AM8" s="194" t="s">
        <v>3569</v>
      </c>
      <c r="AN8" s="198">
        <v>1000000000</v>
      </c>
      <c r="AO8" s="198">
        <v>100000000</v>
      </c>
      <c r="AP8" s="199">
        <v>10000000</v>
      </c>
      <c r="AQ8" s="199">
        <v>1000000</v>
      </c>
      <c r="AR8" s="199">
        <v>1000</v>
      </c>
      <c r="AS8" s="199">
        <v>1000</v>
      </c>
      <c r="AT8" s="199">
        <v>1</v>
      </c>
      <c r="AU8" s="200">
        <v>1E-3</v>
      </c>
      <c r="AY8" s="311"/>
    </row>
    <row r="9" spans="1:51" ht="15" thickBot="1" x14ac:dyDescent="0.4">
      <c r="A9" s="378" t="s">
        <v>3579</v>
      </c>
      <c r="B9" s="182" t="s">
        <v>3580</v>
      </c>
      <c r="C9" s="218">
        <v>45.57</v>
      </c>
      <c r="D9" s="304"/>
      <c r="E9" s="186">
        <v>2.5</v>
      </c>
      <c r="F9" s="225" t="s">
        <v>3051</v>
      </c>
      <c r="K9" s="31" t="s">
        <v>2947</v>
      </c>
      <c r="L9" s="35">
        <v>1000000</v>
      </c>
      <c r="M9" s="36">
        <v>1000</v>
      </c>
      <c r="N9" s="36">
        <v>1</v>
      </c>
      <c r="O9" s="36">
        <v>1E-3</v>
      </c>
      <c r="P9" s="36">
        <v>1000000000</v>
      </c>
      <c r="Q9" s="36">
        <v>1000000</v>
      </c>
      <c r="R9" s="36">
        <v>1000</v>
      </c>
      <c r="S9" s="37">
        <v>1</v>
      </c>
      <c r="U9" s="31" t="s">
        <v>3023</v>
      </c>
      <c r="V9" s="40">
        <v>9.9999999999999995E-7</v>
      </c>
      <c r="W9" s="39">
        <v>1E-3</v>
      </c>
      <c r="X9" s="39">
        <v>1</v>
      </c>
      <c r="Y9" s="39">
        <v>1000</v>
      </c>
      <c r="Z9" s="39">
        <v>1.0000000000000001E-9</v>
      </c>
      <c r="AA9" s="39">
        <v>9.9999999999999995E-7</v>
      </c>
      <c r="AB9" s="39">
        <v>1</v>
      </c>
      <c r="AC9" s="39">
        <v>1000</v>
      </c>
      <c r="AD9" s="39">
        <v>1.0000000000000001E-18</v>
      </c>
      <c r="AE9" s="39">
        <v>1.0000000000000001E-15</v>
      </c>
      <c r="AF9" s="39">
        <v>9.9999999999999998E-13</v>
      </c>
      <c r="AG9" s="39">
        <v>1.0000000000000001E-9</v>
      </c>
      <c r="AH9" s="45">
        <v>2.7799999999999998E-19</v>
      </c>
      <c r="AI9" s="45">
        <v>2.7799999999999998E-13</v>
      </c>
      <c r="AJ9" s="45">
        <v>2.7800000000000002E-10</v>
      </c>
      <c r="AK9" s="49">
        <v>2.7799999999999997E-7</v>
      </c>
      <c r="AM9" s="194" t="s">
        <v>3570</v>
      </c>
      <c r="AN9" s="201">
        <v>1000000000000</v>
      </c>
      <c r="AO9" s="201">
        <v>100000000000</v>
      </c>
      <c r="AP9" s="202">
        <v>10000000000</v>
      </c>
      <c r="AQ9" s="202">
        <v>1000000000</v>
      </c>
      <c r="AR9" s="202">
        <v>1000000</v>
      </c>
      <c r="AS9" s="202">
        <v>1000000</v>
      </c>
      <c r="AT9" s="202">
        <v>1000</v>
      </c>
      <c r="AU9" s="203">
        <v>1</v>
      </c>
      <c r="AY9" s="310" t="s">
        <v>3589</v>
      </c>
    </row>
    <row r="10" spans="1:51" ht="15" thickBot="1" x14ac:dyDescent="0.4">
      <c r="A10" s="378" t="s">
        <v>2977</v>
      </c>
      <c r="B10" s="182" t="s">
        <v>3580</v>
      </c>
      <c r="C10" s="184">
        <v>28.2</v>
      </c>
      <c r="D10" s="304"/>
      <c r="E10" s="302"/>
      <c r="F10" s="225" t="s">
        <v>3051</v>
      </c>
      <c r="U10" s="31" t="s">
        <v>2954</v>
      </c>
      <c r="V10" s="40">
        <v>1000000</v>
      </c>
      <c r="W10" s="39">
        <v>1000000000</v>
      </c>
      <c r="X10" s="39">
        <v>1000000000000</v>
      </c>
      <c r="Y10" s="39">
        <v>1000000000000000</v>
      </c>
      <c r="Z10" s="39">
        <v>1000</v>
      </c>
      <c r="AA10" s="39">
        <v>1000000</v>
      </c>
      <c r="AB10" s="39">
        <v>1000000000</v>
      </c>
      <c r="AC10" s="39">
        <v>1000000000000</v>
      </c>
      <c r="AD10" s="39">
        <v>9.9999999999999995E-7</v>
      </c>
      <c r="AE10" s="39">
        <v>1E-3</v>
      </c>
      <c r="AF10" s="39">
        <v>1</v>
      </c>
      <c r="AG10" s="39">
        <v>1000</v>
      </c>
      <c r="AH10" s="45">
        <v>2.7780000000000001E-7</v>
      </c>
      <c r="AI10" s="45">
        <v>2.777778E-4</v>
      </c>
      <c r="AJ10" s="45">
        <v>0.27777777780000001</v>
      </c>
      <c r="AK10" s="49">
        <v>277.77777780000002</v>
      </c>
      <c r="AY10" s="311"/>
    </row>
    <row r="11" spans="1:51" ht="15" thickBot="1" x14ac:dyDescent="0.4">
      <c r="A11" s="378" t="s">
        <v>2978</v>
      </c>
      <c r="B11" s="182" t="s">
        <v>3580</v>
      </c>
      <c r="C11" s="184">
        <v>38.700000000000003</v>
      </c>
      <c r="D11" s="304"/>
      <c r="E11" s="220">
        <v>0.47499999999999998</v>
      </c>
      <c r="F11" s="225" t="s">
        <v>3051</v>
      </c>
      <c r="U11" s="31" t="s">
        <v>2955</v>
      </c>
      <c r="V11" s="40">
        <v>1000</v>
      </c>
      <c r="W11" s="39">
        <v>1000000</v>
      </c>
      <c r="X11" s="39">
        <v>1000000000</v>
      </c>
      <c r="Y11" s="39">
        <v>1000000000000</v>
      </c>
      <c r="Z11" s="39">
        <v>1</v>
      </c>
      <c r="AA11" s="39">
        <v>1000</v>
      </c>
      <c r="AB11" s="39">
        <v>1000000</v>
      </c>
      <c r="AC11" s="39">
        <v>1000000000</v>
      </c>
      <c r="AD11" s="39">
        <v>1.0000000000000001E-9</v>
      </c>
      <c r="AE11" s="39">
        <v>9.9999999999999995E-7</v>
      </c>
      <c r="AF11" s="39">
        <v>1E-3</v>
      </c>
      <c r="AG11" s="39">
        <v>1</v>
      </c>
      <c r="AH11" s="45">
        <v>2.7800000000000002E-10</v>
      </c>
      <c r="AI11" s="45">
        <v>2.7780000000000001E-7</v>
      </c>
      <c r="AJ11" s="45">
        <v>2.777778E-4</v>
      </c>
      <c r="AK11" s="49">
        <v>0.27777777780000001</v>
      </c>
      <c r="AY11" s="310" t="s">
        <v>3590</v>
      </c>
    </row>
    <row r="12" spans="1:51" ht="15" thickBot="1" x14ac:dyDescent="0.4">
      <c r="A12" s="378" t="s">
        <v>2979</v>
      </c>
      <c r="B12" s="182" t="s">
        <v>2961</v>
      </c>
      <c r="C12" s="184">
        <v>28.2</v>
      </c>
      <c r="D12" s="304"/>
      <c r="E12" s="302"/>
      <c r="F12" s="225" t="s">
        <v>3051</v>
      </c>
      <c r="U12" s="25" t="s">
        <v>2956</v>
      </c>
      <c r="V12" s="46">
        <v>3600000000000</v>
      </c>
      <c r="W12" s="45">
        <v>3600000000000000</v>
      </c>
      <c r="X12" s="45">
        <v>3.6E+18</v>
      </c>
      <c r="Y12" s="45">
        <v>3.6E+21</v>
      </c>
      <c r="Z12" s="45">
        <v>3600000000</v>
      </c>
      <c r="AA12" s="45">
        <v>3600000000000</v>
      </c>
      <c r="AB12" s="45">
        <v>3600000000000000</v>
      </c>
      <c r="AC12" s="45">
        <v>3.6E+18</v>
      </c>
      <c r="AD12" s="45">
        <v>3.6</v>
      </c>
      <c r="AE12" s="45">
        <v>3600</v>
      </c>
      <c r="AF12" s="45">
        <v>3600000</v>
      </c>
      <c r="AG12" s="45">
        <v>3600000000</v>
      </c>
      <c r="AH12" s="45">
        <v>1</v>
      </c>
      <c r="AI12" s="45">
        <v>1000</v>
      </c>
      <c r="AJ12" s="45">
        <v>1000000</v>
      </c>
      <c r="AK12" s="49">
        <v>1000000000</v>
      </c>
      <c r="AY12" s="309"/>
    </row>
    <row r="13" spans="1:51" ht="15" thickBot="1" x14ac:dyDescent="0.4">
      <c r="A13" s="378" t="s">
        <v>3583</v>
      </c>
      <c r="B13" s="182" t="s">
        <v>2966</v>
      </c>
      <c r="C13" s="184">
        <v>42.3</v>
      </c>
      <c r="D13" s="148">
        <v>0.8</v>
      </c>
      <c r="E13" s="302"/>
      <c r="F13" s="225" t="s">
        <v>3051</v>
      </c>
      <c r="U13" s="25" t="s">
        <v>2957</v>
      </c>
      <c r="V13" s="46">
        <v>3600000000</v>
      </c>
      <c r="W13" s="45">
        <v>3600000000000</v>
      </c>
      <c r="X13" s="45">
        <v>3600000000000000</v>
      </c>
      <c r="Y13" s="45">
        <v>3.6E+18</v>
      </c>
      <c r="Z13" s="45">
        <v>3600000</v>
      </c>
      <c r="AA13" s="45">
        <v>3600000000</v>
      </c>
      <c r="AB13" s="45">
        <v>3600000000000</v>
      </c>
      <c r="AC13" s="45">
        <v>3600000000000000</v>
      </c>
      <c r="AD13" s="45">
        <v>3.5999999999999999E-3</v>
      </c>
      <c r="AE13" s="45">
        <v>3.6</v>
      </c>
      <c r="AF13" s="45">
        <v>3600</v>
      </c>
      <c r="AG13" s="45">
        <v>3600000</v>
      </c>
      <c r="AH13" s="45">
        <v>1E-3</v>
      </c>
      <c r="AI13" s="45">
        <v>1</v>
      </c>
      <c r="AJ13" s="45">
        <v>1000</v>
      </c>
      <c r="AK13" s="49">
        <v>1000000</v>
      </c>
      <c r="AY13" s="309"/>
    </row>
    <row r="14" spans="1:51" x14ac:dyDescent="0.35">
      <c r="A14" s="378" t="s">
        <v>2980</v>
      </c>
      <c r="B14" s="182" t="s">
        <v>3580</v>
      </c>
      <c r="C14" s="184">
        <v>46.4</v>
      </c>
      <c r="D14" s="185"/>
      <c r="E14" s="186">
        <v>1.3</v>
      </c>
      <c r="F14" s="225" t="s">
        <v>3051</v>
      </c>
      <c r="AY14" s="309"/>
    </row>
    <row r="15" spans="1:51" x14ac:dyDescent="0.35">
      <c r="A15" s="378" t="s">
        <v>2981</v>
      </c>
      <c r="B15" s="182" t="s">
        <v>3580</v>
      </c>
      <c r="C15" s="184">
        <v>28.2</v>
      </c>
      <c r="D15" s="185"/>
      <c r="E15" s="220">
        <v>0.54</v>
      </c>
      <c r="F15" s="225" t="s">
        <v>3051</v>
      </c>
      <c r="AY15" s="310" t="s">
        <v>3591</v>
      </c>
    </row>
    <row r="16" spans="1:51" x14ac:dyDescent="0.35">
      <c r="A16" s="378" t="s">
        <v>2982</v>
      </c>
      <c r="B16" s="182" t="s">
        <v>2966</v>
      </c>
      <c r="C16" s="184">
        <v>43</v>
      </c>
      <c r="D16" s="187">
        <v>0.84</v>
      </c>
      <c r="E16" s="305"/>
      <c r="F16" s="225" t="s">
        <v>3051</v>
      </c>
      <c r="AY16" s="311"/>
    </row>
    <row r="17" spans="1:51" x14ac:dyDescent="0.35">
      <c r="A17" s="378" t="s">
        <v>2983</v>
      </c>
      <c r="B17" s="182" t="s">
        <v>2966</v>
      </c>
      <c r="C17" s="184">
        <v>44.3</v>
      </c>
      <c r="D17" s="218">
        <v>0.81</v>
      </c>
      <c r="E17" s="302"/>
      <c r="F17" s="225" t="s">
        <v>3051</v>
      </c>
      <c r="AY17" s="310" t="s">
        <v>3592</v>
      </c>
    </row>
    <row r="18" spans="1:51" x14ac:dyDescent="0.35">
      <c r="A18" s="378" t="s">
        <v>2984</v>
      </c>
      <c r="B18" s="182" t="s">
        <v>2966</v>
      </c>
      <c r="C18" s="184">
        <v>44.1</v>
      </c>
      <c r="D18" s="148">
        <v>0.79</v>
      </c>
      <c r="E18" s="302"/>
      <c r="F18" s="225" t="s">
        <v>3051</v>
      </c>
      <c r="AY18" s="309"/>
    </row>
    <row r="19" spans="1:51" x14ac:dyDescent="0.35">
      <c r="A19" s="378" t="s">
        <v>3582</v>
      </c>
      <c r="B19" s="182" t="s">
        <v>2966</v>
      </c>
      <c r="C19" s="184">
        <v>43.8</v>
      </c>
      <c r="D19" s="148">
        <v>0.8</v>
      </c>
      <c r="E19" s="302"/>
      <c r="F19" s="225" t="s">
        <v>3051</v>
      </c>
      <c r="AY19" s="309"/>
    </row>
    <row r="20" spans="1:51" x14ac:dyDescent="0.35">
      <c r="A20" s="378" t="s">
        <v>2985</v>
      </c>
      <c r="B20" s="182" t="s">
        <v>3580</v>
      </c>
      <c r="C20" s="184">
        <v>50.4</v>
      </c>
      <c r="D20" s="304"/>
      <c r="E20" s="186">
        <v>0.9</v>
      </c>
      <c r="F20" s="225" t="s">
        <v>3050</v>
      </c>
      <c r="AY20" s="309"/>
    </row>
    <row r="21" spans="1:51" x14ac:dyDescent="0.35">
      <c r="A21" s="378" t="s">
        <v>2986</v>
      </c>
      <c r="B21" s="182" t="s">
        <v>2961</v>
      </c>
      <c r="C21" s="184">
        <v>11.9</v>
      </c>
      <c r="D21" s="304"/>
      <c r="E21" s="302"/>
      <c r="F21" s="225" t="s">
        <v>3051</v>
      </c>
      <c r="AY21" s="309"/>
    </row>
    <row r="22" spans="1:51" x14ac:dyDescent="0.35">
      <c r="A22" s="378" t="s">
        <v>2987</v>
      </c>
      <c r="B22" s="182" t="s">
        <v>2966</v>
      </c>
      <c r="C22" s="184">
        <v>47.3</v>
      </c>
      <c r="D22" s="148">
        <v>0.54</v>
      </c>
      <c r="E22" s="302"/>
      <c r="F22" s="225" t="s">
        <v>3051</v>
      </c>
      <c r="AY22" s="309"/>
    </row>
    <row r="23" spans="1:51" x14ac:dyDescent="0.35">
      <c r="A23" s="378" t="s">
        <v>2988</v>
      </c>
      <c r="B23" s="182" t="s">
        <v>2966</v>
      </c>
      <c r="C23" s="184">
        <v>40.200000000000003</v>
      </c>
      <c r="D23" s="148">
        <v>1</v>
      </c>
      <c r="E23" s="302"/>
      <c r="F23" s="225" t="s">
        <v>3051</v>
      </c>
      <c r="AY23" s="309"/>
    </row>
    <row r="24" spans="1:51" x14ac:dyDescent="0.35">
      <c r="A24" s="378" t="s">
        <v>2989</v>
      </c>
      <c r="B24" s="182" t="s">
        <v>3580</v>
      </c>
      <c r="C24" s="218">
        <v>50</v>
      </c>
      <c r="D24" s="304"/>
      <c r="E24" s="186">
        <v>0.67</v>
      </c>
      <c r="F24" s="225" t="s">
        <v>3051</v>
      </c>
      <c r="AY24" s="310" t="s">
        <v>3593</v>
      </c>
    </row>
    <row r="25" spans="1:51" x14ac:dyDescent="0.35">
      <c r="A25" s="378" t="s">
        <v>2990</v>
      </c>
      <c r="B25" s="182" t="s">
        <v>2966</v>
      </c>
      <c r="C25" s="184">
        <v>44.3</v>
      </c>
      <c r="D25" s="148">
        <v>0.74</v>
      </c>
      <c r="E25" s="302"/>
      <c r="F25" s="225" t="s">
        <v>3051</v>
      </c>
      <c r="AY25" s="309"/>
    </row>
    <row r="26" spans="1:51" x14ac:dyDescent="0.35">
      <c r="A26" s="378" t="s">
        <v>2991</v>
      </c>
      <c r="B26" s="182" t="s">
        <v>2961</v>
      </c>
      <c r="C26" s="184">
        <v>11.6</v>
      </c>
      <c r="D26" s="304"/>
      <c r="E26" s="302"/>
      <c r="F26" s="225" t="s">
        <v>3050</v>
      </c>
      <c r="AY26" s="309"/>
    </row>
    <row r="27" spans="1:51" x14ac:dyDescent="0.35">
      <c r="A27" s="379" t="s">
        <v>2992</v>
      </c>
      <c r="B27" s="182" t="s">
        <v>2961</v>
      </c>
      <c r="C27" s="184">
        <v>10</v>
      </c>
      <c r="D27" s="304"/>
      <c r="E27" s="302"/>
      <c r="F27" s="225" t="s">
        <v>3051</v>
      </c>
      <c r="AY27" s="309"/>
    </row>
    <row r="28" spans="1:51" x14ac:dyDescent="0.35">
      <c r="A28" s="378" t="s">
        <v>2993</v>
      </c>
      <c r="B28" s="182" t="s">
        <v>2966</v>
      </c>
      <c r="C28" s="184">
        <v>44.5</v>
      </c>
      <c r="D28" s="148">
        <v>0.77</v>
      </c>
      <c r="E28" s="302"/>
      <c r="F28" s="225" t="s">
        <v>3051</v>
      </c>
      <c r="AY28" s="309"/>
    </row>
    <row r="29" spans="1:51" x14ac:dyDescent="0.35">
      <c r="A29" s="378" t="s">
        <v>2994</v>
      </c>
      <c r="B29" s="182" t="s">
        <v>3580</v>
      </c>
      <c r="C29" s="184">
        <v>48</v>
      </c>
      <c r="D29" s="304"/>
      <c r="E29" s="186">
        <v>0.7</v>
      </c>
      <c r="F29" s="225" t="s">
        <v>3051</v>
      </c>
      <c r="AY29" s="309"/>
    </row>
    <row r="30" spans="1:51" x14ac:dyDescent="0.35">
      <c r="A30" s="378" t="s">
        <v>3581</v>
      </c>
      <c r="B30" s="182" t="s">
        <v>2966</v>
      </c>
      <c r="C30" s="184">
        <v>44.2</v>
      </c>
      <c r="D30" s="148">
        <v>0.47</v>
      </c>
      <c r="E30" s="302"/>
      <c r="F30" s="225" t="s">
        <v>3051</v>
      </c>
      <c r="AY30" s="309"/>
    </row>
    <row r="31" spans="1:51" x14ac:dyDescent="0.35">
      <c r="A31" s="378" t="s">
        <v>2995</v>
      </c>
      <c r="B31" s="182" t="s">
        <v>2966</v>
      </c>
      <c r="C31" s="184">
        <v>8.9</v>
      </c>
      <c r="D31" s="218">
        <v>0.95</v>
      </c>
      <c r="E31" s="302"/>
      <c r="F31" s="225" t="s">
        <v>3051</v>
      </c>
      <c r="AY31" s="310" t="s">
        <v>3594</v>
      </c>
    </row>
    <row r="32" spans="1:51" x14ac:dyDescent="0.35">
      <c r="A32" s="378" t="s">
        <v>2996</v>
      </c>
      <c r="B32" s="182" t="s">
        <v>2966</v>
      </c>
      <c r="C32" s="184">
        <v>27.5</v>
      </c>
      <c r="D32" s="218">
        <v>1.1299999999999999</v>
      </c>
      <c r="E32" s="302"/>
      <c r="F32" s="225" t="s">
        <v>3051</v>
      </c>
      <c r="AY32" s="310" t="s">
        <v>3604</v>
      </c>
    </row>
    <row r="33" spans="1:51" x14ac:dyDescent="0.35">
      <c r="A33" s="378" t="s">
        <v>2997</v>
      </c>
      <c r="B33" s="182" t="s">
        <v>3580</v>
      </c>
      <c r="C33" s="184">
        <v>7.06</v>
      </c>
      <c r="D33" s="304"/>
      <c r="E33" s="220">
        <v>1.33</v>
      </c>
      <c r="F33" s="225" t="s">
        <v>3051</v>
      </c>
      <c r="AY33" s="310" t="s">
        <v>3605</v>
      </c>
    </row>
    <row r="34" spans="1:51" x14ac:dyDescent="0.35">
      <c r="A34" s="378" t="s">
        <v>2998</v>
      </c>
      <c r="B34" s="182" t="s">
        <v>2961</v>
      </c>
      <c r="C34" s="184">
        <v>40.200000000000003</v>
      </c>
      <c r="D34" s="304"/>
      <c r="E34" s="302"/>
      <c r="F34" s="225" t="s">
        <v>3051</v>
      </c>
      <c r="AY34" s="309"/>
    </row>
    <row r="35" spans="1:51" x14ac:dyDescent="0.35">
      <c r="A35" s="378" t="s">
        <v>2999</v>
      </c>
      <c r="B35" s="182" t="s">
        <v>2961</v>
      </c>
      <c r="C35" s="184">
        <v>20.7</v>
      </c>
      <c r="D35" s="304"/>
      <c r="E35" s="302"/>
      <c r="F35" s="225" t="s">
        <v>3051</v>
      </c>
      <c r="AY35" s="309"/>
    </row>
    <row r="36" spans="1:51" x14ac:dyDescent="0.35">
      <c r="A36" s="378" t="s">
        <v>3000</v>
      </c>
      <c r="B36" s="182" t="s">
        <v>2961</v>
      </c>
      <c r="C36" s="184">
        <v>9.76</v>
      </c>
      <c r="D36" s="304"/>
      <c r="E36" s="302"/>
      <c r="F36" s="225" t="s">
        <v>3051</v>
      </c>
      <c r="AY36" s="309"/>
    </row>
    <row r="37" spans="1:51" x14ac:dyDescent="0.35">
      <c r="A37" s="378" t="s">
        <v>3001</v>
      </c>
      <c r="B37" s="182" t="s">
        <v>2961</v>
      </c>
      <c r="C37" s="184">
        <v>32.5</v>
      </c>
      <c r="D37" s="304"/>
      <c r="E37" s="302"/>
      <c r="F37" s="225" t="s">
        <v>3051</v>
      </c>
      <c r="AY37" s="309"/>
    </row>
    <row r="38" spans="1:51" x14ac:dyDescent="0.35">
      <c r="A38" s="378" t="s">
        <v>3002</v>
      </c>
      <c r="B38" s="182" t="s">
        <v>3580</v>
      </c>
      <c r="C38" s="218">
        <v>46.32</v>
      </c>
      <c r="D38" s="304"/>
      <c r="E38" s="186">
        <v>1.9</v>
      </c>
      <c r="F38" s="225" t="s">
        <v>3051</v>
      </c>
      <c r="AY38" s="310" t="s">
        <v>3595</v>
      </c>
    </row>
    <row r="39" spans="1:51" x14ac:dyDescent="0.35">
      <c r="A39" s="378" t="s">
        <v>3003</v>
      </c>
      <c r="B39" s="182" t="s">
        <v>2966</v>
      </c>
      <c r="C39" s="184">
        <v>43</v>
      </c>
      <c r="D39" s="218">
        <v>0.82499999999999996</v>
      </c>
      <c r="E39" s="302"/>
      <c r="F39" s="225" t="s">
        <v>3051</v>
      </c>
      <c r="AY39" s="310" t="s">
        <v>3596</v>
      </c>
    </row>
    <row r="40" spans="1:51" x14ac:dyDescent="0.35">
      <c r="A40" s="378" t="s">
        <v>3004</v>
      </c>
      <c r="B40" s="182" t="s">
        <v>3580</v>
      </c>
      <c r="C40" s="184">
        <v>49.5</v>
      </c>
      <c r="D40" s="304"/>
      <c r="E40" s="220">
        <v>0.88</v>
      </c>
      <c r="F40" s="225" t="s">
        <v>3051</v>
      </c>
      <c r="AY40" s="310" t="s">
        <v>3597</v>
      </c>
    </row>
    <row r="41" spans="1:51" x14ac:dyDescent="0.35">
      <c r="A41" s="378" t="s">
        <v>3005</v>
      </c>
      <c r="B41" s="182" t="s">
        <v>2966</v>
      </c>
      <c r="C41" s="184">
        <v>40.4</v>
      </c>
      <c r="D41" s="148">
        <v>0.94</v>
      </c>
      <c r="E41" s="302"/>
      <c r="F41" s="225" t="s">
        <v>3051</v>
      </c>
      <c r="AY41" s="309"/>
    </row>
    <row r="42" spans="1:51" x14ac:dyDescent="0.35">
      <c r="A42" s="378" t="s">
        <v>3006</v>
      </c>
      <c r="B42" s="182" t="s">
        <v>2966</v>
      </c>
      <c r="C42" s="184">
        <v>38.1</v>
      </c>
      <c r="D42" s="148">
        <v>1</v>
      </c>
      <c r="E42" s="302"/>
      <c r="F42" s="225" t="s">
        <v>3051</v>
      </c>
      <c r="AY42" s="309"/>
    </row>
    <row r="43" spans="1:51" x14ac:dyDescent="0.35">
      <c r="A43" s="378" t="s">
        <v>3007</v>
      </c>
      <c r="B43" s="182" t="s">
        <v>3580</v>
      </c>
      <c r="C43" s="184">
        <v>50.4</v>
      </c>
      <c r="D43" s="304"/>
      <c r="E43" s="186">
        <v>0.67</v>
      </c>
      <c r="F43" s="225" t="s">
        <v>3050</v>
      </c>
      <c r="AY43" s="309"/>
    </row>
    <row r="44" spans="1:51" x14ac:dyDescent="0.35">
      <c r="A44" s="378" t="s">
        <v>3008</v>
      </c>
      <c r="B44" s="182" t="s">
        <v>2961</v>
      </c>
      <c r="C44" s="184">
        <v>18.899999999999999</v>
      </c>
      <c r="D44" s="304"/>
      <c r="E44" s="302"/>
      <c r="F44" s="225" t="s">
        <v>3051</v>
      </c>
      <c r="AY44" s="309"/>
    </row>
    <row r="45" spans="1:51" x14ac:dyDescent="0.35">
      <c r="A45" s="378" t="s">
        <v>3606</v>
      </c>
      <c r="B45" s="182" t="s">
        <v>2966</v>
      </c>
      <c r="C45" s="184">
        <v>11.8</v>
      </c>
      <c r="D45" s="218">
        <v>1.2</v>
      </c>
      <c r="E45" s="302"/>
      <c r="F45" s="225" t="s">
        <v>3050</v>
      </c>
      <c r="AY45" s="310" t="s">
        <v>3598</v>
      </c>
    </row>
    <row r="46" spans="1:51" x14ac:dyDescent="0.35">
      <c r="A46" s="378" t="s">
        <v>3009</v>
      </c>
      <c r="B46" s="182" t="s">
        <v>2966</v>
      </c>
      <c r="C46" s="218">
        <v>44.4</v>
      </c>
      <c r="D46" s="148">
        <v>0.87</v>
      </c>
      <c r="E46" s="302"/>
      <c r="F46" s="225" t="s">
        <v>3050</v>
      </c>
      <c r="AY46" s="310" t="s">
        <v>3599</v>
      </c>
    </row>
    <row r="47" spans="1:51" x14ac:dyDescent="0.35">
      <c r="A47" s="378" t="s">
        <v>3010</v>
      </c>
      <c r="B47" s="182" t="s">
        <v>2966</v>
      </c>
      <c r="C47" s="218">
        <v>37.799999999999997</v>
      </c>
      <c r="D47" s="148">
        <v>0.9</v>
      </c>
      <c r="E47" s="302"/>
      <c r="F47" s="225" t="s">
        <v>3051</v>
      </c>
      <c r="AY47" s="310" t="s">
        <v>3600</v>
      </c>
    </row>
    <row r="48" spans="1:51" x14ac:dyDescent="0.35">
      <c r="A48" s="378" t="s">
        <v>3011</v>
      </c>
      <c r="B48" s="182" t="s">
        <v>2966</v>
      </c>
      <c r="C48" s="184">
        <v>40.200000000000003</v>
      </c>
      <c r="D48" s="218">
        <v>0.8</v>
      </c>
      <c r="E48" s="302"/>
      <c r="F48" s="225" t="s">
        <v>3051</v>
      </c>
      <c r="AY48" s="310" t="s">
        <v>3601</v>
      </c>
    </row>
    <row r="49" spans="1:51" x14ac:dyDescent="0.35">
      <c r="A49" s="378" t="s">
        <v>3012</v>
      </c>
      <c r="B49" s="182" t="s">
        <v>3580</v>
      </c>
      <c r="C49" s="218">
        <v>35</v>
      </c>
      <c r="D49" s="304"/>
      <c r="E49" s="186">
        <v>0.9</v>
      </c>
      <c r="F49" s="225" t="s">
        <v>3050</v>
      </c>
      <c r="AY49" s="310" t="s">
        <v>3602</v>
      </c>
    </row>
    <row r="50" spans="1:51" x14ac:dyDescent="0.35">
      <c r="A50" s="378" t="s">
        <v>3013</v>
      </c>
      <c r="B50" s="182" t="s">
        <v>2966</v>
      </c>
      <c r="C50" s="184">
        <v>40.200000000000003</v>
      </c>
      <c r="D50" s="218">
        <v>0.75</v>
      </c>
      <c r="E50" s="302"/>
      <c r="F50" s="225" t="s">
        <v>3051</v>
      </c>
      <c r="AY50" s="310" t="s">
        <v>3603</v>
      </c>
    </row>
    <row r="51" spans="1:51" x14ac:dyDescent="0.35">
      <c r="A51" s="380" t="s">
        <v>3014</v>
      </c>
      <c r="B51" s="182" t="s">
        <v>2961</v>
      </c>
      <c r="C51" s="188">
        <v>15.6</v>
      </c>
      <c r="D51" s="306"/>
      <c r="E51" s="307"/>
      <c r="F51" s="225" t="s">
        <v>3050</v>
      </c>
      <c r="AY51" s="309"/>
    </row>
    <row r="52" spans="1:51" x14ac:dyDescent="0.35">
      <c r="A52" s="189" t="s">
        <v>3076</v>
      </c>
      <c r="B52" s="190"/>
      <c r="C52" s="190"/>
      <c r="D52" s="190"/>
      <c r="E52" s="221"/>
      <c r="F52" s="190"/>
      <c r="AY52" s="309"/>
    </row>
    <row r="53" spans="1:51" x14ac:dyDescent="0.35">
      <c r="A53" s="189" t="s">
        <v>3077</v>
      </c>
      <c r="B53" s="190"/>
      <c r="C53" s="190"/>
      <c r="D53" s="190"/>
      <c r="E53" s="221"/>
      <c r="F53" s="190"/>
      <c r="AY53" s="309"/>
    </row>
    <row r="54" spans="1:51" x14ac:dyDescent="0.35">
      <c r="A54" s="189" t="s">
        <v>3078</v>
      </c>
      <c r="B54" s="190"/>
      <c r="C54" s="190"/>
      <c r="D54" s="190"/>
      <c r="E54" s="221"/>
      <c r="F54" s="190"/>
      <c r="AY54" s="309"/>
    </row>
    <row r="55" spans="1:51" x14ac:dyDescent="0.35">
      <c r="A55" s="189" t="s">
        <v>3079</v>
      </c>
      <c r="B55" s="190"/>
      <c r="C55" s="190"/>
      <c r="D55" s="190"/>
      <c r="E55" s="221"/>
      <c r="F55" s="190"/>
      <c r="AY55" s="309"/>
    </row>
    <row r="56" spans="1:51" x14ac:dyDescent="0.35">
      <c r="A56" s="189" t="s">
        <v>3080</v>
      </c>
      <c r="B56" s="190"/>
      <c r="C56" s="190"/>
      <c r="D56" s="190"/>
      <c r="E56" s="221"/>
      <c r="F56" s="190"/>
      <c r="AY56" s="309"/>
    </row>
    <row r="57" spans="1:51" x14ac:dyDescent="0.35">
      <c r="A57" s="189" t="s">
        <v>3081</v>
      </c>
      <c r="B57" s="190"/>
      <c r="C57" s="190"/>
      <c r="D57" s="190"/>
      <c r="E57" s="221"/>
      <c r="F57" s="190"/>
      <c r="AY57" s="309"/>
    </row>
    <row r="58" spans="1:51" x14ac:dyDescent="0.35">
      <c r="A58" s="189" t="s">
        <v>3082</v>
      </c>
      <c r="B58" s="190"/>
      <c r="C58" s="190"/>
      <c r="D58" s="190"/>
      <c r="E58" s="221"/>
      <c r="F58" s="190"/>
      <c r="AY58" s="309"/>
    </row>
    <row r="59" spans="1:51" x14ac:dyDescent="0.35">
      <c r="A59" s="189" t="s">
        <v>3083</v>
      </c>
      <c r="B59" s="190"/>
      <c r="C59" s="190"/>
      <c r="D59" s="190"/>
      <c r="E59" s="221"/>
      <c r="F59" s="190"/>
      <c r="AY59" s="309"/>
    </row>
    <row r="60" spans="1:51" x14ac:dyDescent="0.35">
      <c r="A60" s="189" t="s">
        <v>3084</v>
      </c>
      <c r="B60" s="190"/>
      <c r="C60" s="190"/>
      <c r="D60" s="190"/>
      <c r="E60" s="221"/>
      <c r="F60" s="190"/>
      <c r="AY60" s="309"/>
    </row>
    <row r="61" spans="1:51" ht="15" thickBot="1" x14ac:dyDescent="0.4">
      <c r="A61" s="226" t="s">
        <v>3085</v>
      </c>
      <c r="B61" s="190"/>
      <c r="C61" s="227"/>
      <c r="D61" s="227"/>
      <c r="E61" s="228"/>
      <c r="F61" s="190"/>
      <c r="AY61" s="309"/>
    </row>
    <row r="62" spans="1:51" x14ac:dyDescent="0.35">
      <c r="A62" s="1164" t="s">
        <v>3584</v>
      </c>
      <c r="B62" s="1165"/>
      <c r="C62" s="1165"/>
      <c r="D62" s="1165"/>
      <c r="E62" s="1165"/>
      <c r="F62" s="1165"/>
      <c r="G62" s="1165"/>
      <c r="H62" s="1165"/>
      <c r="I62" s="1165"/>
      <c r="J62" s="1165"/>
      <c r="K62" s="1165"/>
      <c r="L62" s="1165"/>
      <c r="M62" s="1165"/>
      <c r="N62" s="1165"/>
      <c r="O62" s="1165"/>
      <c r="P62" s="1165"/>
      <c r="Q62" s="1165"/>
      <c r="R62" s="1165"/>
      <c r="S62" s="1165"/>
      <c r="T62" s="1165"/>
      <c r="U62" s="1165"/>
      <c r="V62" s="1165"/>
      <c r="W62" s="1165"/>
      <c r="X62" s="1165"/>
      <c r="Y62" s="1165"/>
      <c r="Z62" s="1165"/>
      <c r="AA62" s="1165"/>
      <c r="AB62" s="1165"/>
      <c r="AC62" s="1165"/>
      <c r="AD62" s="1165"/>
      <c r="AE62" s="1165"/>
      <c r="AF62" s="1165"/>
      <c r="AG62" s="1165"/>
      <c r="AH62" s="1165"/>
      <c r="AI62" s="1165"/>
      <c r="AJ62" s="1165"/>
      <c r="AK62" s="1165"/>
      <c r="AL62" s="1165"/>
      <c r="AM62" s="1165"/>
      <c r="AN62" s="1165"/>
      <c r="AO62" s="1165"/>
      <c r="AP62" s="1165"/>
      <c r="AQ62" s="1165"/>
      <c r="AR62" s="1165"/>
      <c r="AS62" s="1165"/>
      <c r="AT62" s="1165"/>
      <c r="AU62" s="1165"/>
      <c r="AV62" s="1165"/>
      <c r="AW62" s="1165"/>
      <c r="AX62" s="1165"/>
      <c r="AY62" s="1166"/>
    </row>
    <row r="63" spans="1:51" ht="44" customHeight="1" x14ac:dyDescent="0.35">
      <c r="A63" s="1167" t="s">
        <v>3617</v>
      </c>
      <c r="B63" s="1168"/>
      <c r="C63" s="1168"/>
      <c r="D63" s="1168"/>
      <c r="E63" s="1168"/>
      <c r="F63" s="1168"/>
      <c r="G63" s="1168"/>
      <c r="H63" s="1168"/>
      <c r="I63" s="1168"/>
      <c r="J63" s="1168"/>
      <c r="K63" s="1168"/>
      <c r="L63" s="1168"/>
      <c r="M63" s="1168"/>
      <c r="N63" s="1168"/>
      <c r="O63" s="1168"/>
      <c r="P63" s="1168"/>
      <c r="Q63" s="1168"/>
      <c r="R63" s="1168"/>
      <c r="S63" s="1168"/>
      <c r="T63" s="1168"/>
      <c r="U63" s="1168"/>
      <c r="V63" s="1168"/>
      <c r="W63" s="1168"/>
      <c r="X63" s="1168"/>
      <c r="Y63" s="1168"/>
      <c r="Z63" s="1168"/>
      <c r="AA63" s="1168"/>
      <c r="AB63" s="1168"/>
      <c r="AC63" s="1168"/>
      <c r="AD63" s="1168"/>
      <c r="AE63" s="1168"/>
      <c r="AF63" s="1168"/>
      <c r="AG63" s="1168"/>
      <c r="AH63" s="1168"/>
      <c r="AI63" s="1168"/>
      <c r="AJ63" s="1168"/>
      <c r="AK63" s="1168"/>
      <c r="AL63" s="1168"/>
      <c r="AM63" s="1168"/>
      <c r="AN63" s="1168"/>
      <c r="AO63" s="1168"/>
      <c r="AP63" s="1168"/>
      <c r="AQ63" s="1168"/>
      <c r="AR63" s="1168"/>
      <c r="AS63" s="1168"/>
      <c r="AT63" s="1168"/>
      <c r="AU63" s="1168"/>
      <c r="AV63" s="1168"/>
      <c r="AW63" s="1168"/>
      <c r="AX63" s="1168"/>
      <c r="AY63" s="1169"/>
    </row>
    <row r="64" spans="1:51" x14ac:dyDescent="0.35">
      <c r="A64" s="1170" t="s">
        <v>3618</v>
      </c>
      <c r="B64" s="1171"/>
      <c r="C64" s="1171"/>
      <c r="D64" s="1171"/>
      <c r="E64" s="1171"/>
      <c r="F64" s="1171"/>
      <c r="G64" s="1171"/>
      <c r="H64" s="1171"/>
      <c r="I64" s="1171"/>
      <c r="J64" s="1171"/>
      <c r="K64" s="1171"/>
      <c r="L64" s="1171"/>
      <c r="M64" s="1171"/>
      <c r="N64" s="1171"/>
      <c r="O64" s="1171"/>
      <c r="P64" s="1171"/>
      <c r="Q64" s="1171"/>
      <c r="R64" s="1171"/>
      <c r="S64" s="1171"/>
      <c r="T64" s="1171"/>
      <c r="U64" s="1171"/>
      <c r="V64" s="1171"/>
      <c r="W64" s="1171"/>
      <c r="X64" s="1171"/>
      <c r="Y64" s="1171"/>
      <c r="Z64" s="1171"/>
      <c r="AA64" s="1171"/>
      <c r="AB64" s="1171"/>
      <c r="AC64" s="1171"/>
      <c r="AD64" s="1171"/>
      <c r="AE64" s="1171"/>
      <c r="AF64" s="1171"/>
      <c r="AG64" s="1171"/>
      <c r="AH64" s="1171"/>
      <c r="AI64" s="1171"/>
      <c r="AJ64" s="1171"/>
      <c r="AK64" s="1171"/>
      <c r="AL64" s="1171"/>
      <c r="AM64" s="1171"/>
      <c r="AN64" s="1171"/>
      <c r="AO64" s="1171"/>
      <c r="AP64" s="1171"/>
      <c r="AQ64" s="1171"/>
      <c r="AR64" s="1171"/>
      <c r="AS64" s="1171"/>
      <c r="AT64" s="1171"/>
      <c r="AU64" s="1171"/>
      <c r="AV64" s="1171"/>
      <c r="AW64" s="1171"/>
      <c r="AX64" s="1171"/>
      <c r="AY64" s="1172"/>
    </row>
    <row r="65" spans="1:51" x14ac:dyDescent="0.35">
      <c r="A65" s="1161" t="s">
        <v>3585</v>
      </c>
      <c r="B65" s="1162"/>
      <c r="C65" s="1162"/>
      <c r="D65" s="1162"/>
      <c r="E65" s="1162"/>
      <c r="F65" s="1162"/>
      <c r="G65" s="1162"/>
      <c r="H65" s="1162"/>
      <c r="I65" s="1162"/>
      <c r="J65" s="1162"/>
      <c r="K65" s="1162"/>
      <c r="L65" s="1162"/>
      <c r="M65" s="1162"/>
      <c r="N65" s="1162"/>
      <c r="O65" s="1162"/>
      <c r="P65" s="1162"/>
      <c r="Q65" s="1162"/>
      <c r="R65" s="1162"/>
      <c r="S65" s="1162"/>
      <c r="T65" s="1162"/>
      <c r="U65" s="1162"/>
      <c r="V65" s="1162"/>
      <c r="W65" s="1162"/>
      <c r="X65" s="1162"/>
      <c r="Y65" s="1162"/>
      <c r="Z65" s="1162"/>
      <c r="AA65" s="1162"/>
      <c r="AB65" s="1162"/>
      <c r="AC65" s="1162"/>
      <c r="AD65" s="1162"/>
      <c r="AE65" s="1162"/>
      <c r="AF65" s="1162"/>
      <c r="AG65" s="1162"/>
      <c r="AH65" s="1162"/>
      <c r="AI65" s="1162"/>
      <c r="AJ65" s="1162"/>
      <c r="AK65" s="1162"/>
      <c r="AL65" s="1162"/>
      <c r="AM65" s="1162"/>
      <c r="AN65" s="1162"/>
      <c r="AO65" s="1162"/>
      <c r="AP65" s="1162"/>
      <c r="AQ65" s="1162"/>
      <c r="AR65" s="1162"/>
      <c r="AS65" s="1162"/>
      <c r="AT65" s="1162"/>
      <c r="AU65" s="1162"/>
      <c r="AV65" s="1162"/>
      <c r="AW65" s="1162"/>
      <c r="AX65" s="1162"/>
      <c r="AY65" s="1163"/>
    </row>
    <row r="66" spans="1:51" x14ac:dyDescent="0.35">
      <c r="A66" s="1140" t="s">
        <v>3619</v>
      </c>
      <c r="B66" s="1141"/>
      <c r="C66" s="1141"/>
      <c r="D66" s="1141"/>
      <c r="E66" s="1141"/>
      <c r="F66" s="1141"/>
      <c r="G66" s="1141"/>
      <c r="H66" s="1141"/>
      <c r="I66" s="1141"/>
      <c r="J66" s="1141"/>
      <c r="K66" s="1141"/>
      <c r="L66" s="1141"/>
      <c r="M66" s="1141"/>
      <c r="N66" s="1141"/>
      <c r="O66" s="1141"/>
      <c r="P66" s="1141"/>
      <c r="Q66" s="1141"/>
      <c r="R66" s="1141"/>
      <c r="S66" s="1141"/>
      <c r="T66" s="1141"/>
      <c r="U66" s="1141"/>
      <c r="V66" s="1141"/>
      <c r="W66" s="1141"/>
      <c r="X66" s="1141"/>
      <c r="Y66" s="1141"/>
      <c r="Z66" s="1141"/>
      <c r="AA66" s="1141"/>
      <c r="AB66" s="1141"/>
      <c r="AC66" s="1141"/>
      <c r="AD66" s="1141"/>
      <c r="AE66" s="1141"/>
      <c r="AF66" s="1141"/>
      <c r="AG66" s="1141"/>
      <c r="AH66" s="1141"/>
      <c r="AI66" s="1141"/>
      <c r="AJ66" s="1141"/>
      <c r="AK66" s="1141"/>
      <c r="AL66" s="1141"/>
      <c r="AM66" s="1141"/>
      <c r="AN66" s="1141"/>
      <c r="AO66" s="1141"/>
      <c r="AP66" s="1141"/>
      <c r="AQ66" s="1141"/>
      <c r="AR66" s="1141"/>
      <c r="AS66" s="1141"/>
      <c r="AT66" s="1141"/>
      <c r="AU66" s="1141"/>
      <c r="AV66" s="1141"/>
      <c r="AW66" s="1141"/>
      <c r="AX66" s="1141"/>
      <c r="AY66" s="1142"/>
    </row>
    <row r="67" spans="1:51" x14ac:dyDescent="0.35">
      <c r="A67" s="1143" t="s">
        <v>3620</v>
      </c>
      <c r="B67" s="1159"/>
      <c r="C67" s="1159"/>
      <c r="D67" s="1159"/>
      <c r="E67" s="1159"/>
      <c r="F67" s="1159"/>
      <c r="G67" s="1159"/>
      <c r="H67" s="1159"/>
      <c r="I67" s="1159"/>
      <c r="J67" s="1159"/>
      <c r="K67" s="1159"/>
      <c r="L67" s="1159"/>
      <c r="M67" s="1159"/>
      <c r="N67" s="1159"/>
      <c r="O67" s="1159"/>
      <c r="P67" s="1159"/>
      <c r="Q67" s="1159"/>
      <c r="R67" s="1159"/>
      <c r="S67" s="1159"/>
      <c r="T67" s="1159"/>
      <c r="U67" s="1159"/>
      <c r="V67" s="1159"/>
      <c r="W67" s="1159"/>
      <c r="X67" s="1159"/>
      <c r="Y67" s="1159"/>
      <c r="Z67" s="1159"/>
      <c r="AA67" s="1159"/>
      <c r="AB67" s="1159"/>
      <c r="AC67" s="1159"/>
      <c r="AD67" s="1159"/>
      <c r="AE67" s="1159"/>
      <c r="AF67" s="1159"/>
      <c r="AG67" s="1159"/>
      <c r="AH67" s="1159"/>
      <c r="AI67" s="1159"/>
      <c r="AJ67" s="1159"/>
      <c r="AK67" s="1159"/>
      <c r="AL67" s="1159"/>
      <c r="AM67" s="1159"/>
      <c r="AN67" s="1159"/>
      <c r="AO67" s="1159"/>
      <c r="AP67" s="1159"/>
      <c r="AQ67" s="1159"/>
      <c r="AR67" s="1159"/>
      <c r="AS67" s="1159"/>
      <c r="AT67" s="1159"/>
      <c r="AU67" s="1159"/>
      <c r="AV67" s="1159"/>
      <c r="AW67" s="1159"/>
      <c r="AX67" s="1159"/>
      <c r="AY67" s="1160"/>
    </row>
    <row r="68" spans="1:51" x14ac:dyDescent="0.35">
      <c r="A68" s="1140" t="s">
        <v>3621</v>
      </c>
      <c r="B68" s="1141"/>
      <c r="C68" s="1141"/>
      <c r="D68" s="1141"/>
      <c r="E68" s="1141"/>
      <c r="F68" s="1141"/>
      <c r="G68" s="1141"/>
      <c r="H68" s="1141"/>
      <c r="I68" s="1141"/>
      <c r="J68" s="1141"/>
      <c r="K68" s="1141"/>
      <c r="L68" s="1141"/>
      <c r="M68" s="1141"/>
      <c r="N68" s="1141"/>
      <c r="O68" s="1141"/>
      <c r="P68" s="1141"/>
      <c r="Q68" s="1141"/>
      <c r="R68" s="1141"/>
      <c r="S68" s="1141"/>
      <c r="T68" s="1141"/>
      <c r="U68" s="1141"/>
      <c r="V68" s="1141"/>
      <c r="W68" s="1141"/>
      <c r="X68" s="1141"/>
      <c r="Y68" s="1141"/>
      <c r="Z68" s="1141"/>
      <c r="AA68" s="1141"/>
      <c r="AB68" s="1141"/>
      <c r="AC68" s="1141"/>
      <c r="AD68" s="1141"/>
      <c r="AE68" s="1141"/>
      <c r="AF68" s="1141"/>
      <c r="AG68" s="1141"/>
      <c r="AH68" s="1141"/>
      <c r="AI68" s="1141"/>
      <c r="AJ68" s="1141"/>
      <c r="AK68" s="1141"/>
      <c r="AL68" s="1141"/>
      <c r="AM68" s="1141"/>
      <c r="AN68" s="1141"/>
      <c r="AO68" s="1141"/>
      <c r="AP68" s="1141"/>
      <c r="AQ68" s="1141"/>
      <c r="AR68" s="1141"/>
      <c r="AS68" s="1141"/>
      <c r="AT68" s="1141"/>
      <c r="AU68" s="1141"/>
      <c r="AV68" s="1141"/>
      <c r="AW68" s="1141"/>
      <c r="AX68" s="1141"/>
      <c r="AY68" s="1142"/>
    </row>
    <row r="69" spans="1:51" x14ac:dyDescent="0.35">
      <c r="A69" s="1143" t="s">
        <v>3622</v>
      </c>
      <c r="B69" s="1159"/>
      <c r="C69" s="1159"/>
      <c r="D69" s="1159"/>
      <c r="E69" s="1159"/>
      <c r="F69" s="1159"/>
      <c r="G69" s="1159"/>
      <c r="H69" s="1159"/>
      <c r="I69" s="1159"/>
      <c r="J69" s="1159"/>
      <c r="K69" s="1159"/>
      <c r="L69" s="1159"/>
      <c r="M69" s="1159"/>
      <c r="N69" s="1159"/>
      <c r="O69" s="1159"/>
      <c r="P69" s="1159"/>
      <c r="Q69" s="1159"/>
      <c r="R69" s="1159"/>
      <c r="S69" s="1159"/>
      <c r="T69" s="1159"/>
      <c r="U69" s="1159"/>
      <c r="V69" s="1159"/>
      <c r="W69" s="1159"/>
      <c r="X69" s="1159"/>
      <c r="Y69" s="1159"/>
      <c r="Z69" s="1159"/>
      <c r="AA69" s="1159"/>
      <c r="AB69" s="1159"/>
      <c r="AC69" s="1159"/>
      <c r="AD69" s="1159"/>
      <c r="AE69" s="1159"/>
      <c r="AF69" s="1159"/>
      <c r="AG69" s="1159"/>
      <c r="AH69" s="1159"/>
      <c r="AI69" s="1159"/>
      <c r="AJ69" s="1159"/>
      <c r="AK69" s="1159"/>
      <c r="AL69" s="1159"/>
      <c r="AM69" s="1159"/>
      <c r="AN69" s="1159"/>
      <c r="AO69" s="1159"/>
      <c r="AP69" s="1159"/>
      <c r="AQ69" s="1159"/>
      <c r="AR69" s="1159"/>
      <c r="AS69" s="1159"/>
      <c r="AT69" s="1159"/>
      <c r="AU69" s="1159"/>
      <c r="AV69" s="1159"/>
      <c r="AW69" s="1159"/>
      <c r="AX69" s="1159"/>
      <c r="AY69" s="1160"/>
    </row>
    <row r="70" spans="1:51" x14ac:dyDescent="0.35">
      <c r="A70" s="1140" t="s">
        <v>3623</v>
      </c>
      <c r="B70" s="1141"/>
      <c r="C70" s="1141"/>
      <c r="D70" s="1141"/>
      <c r="E70" s="1141"/>
      <c r="F70" s="1141"/>
      <c r="G70" s="1141"/>
      <c r="H70" s="1141"/>
      <c r="I70" s="1141"/>
      <c r="J70" s="1141"/>
      <c r="K70" s="1141"/>
      <c r="L70" s="1141"/>
      <c r="M70" s="1141"/>
      <c r="N70" s="1141"/>
      <c r="O70" s="1141"/>
      <c r="P70" s="1141"/>
      <c r="Q70" s="1141"/>
      <c r="R70" s="1141"/>
      <c r="S70" s="1141"/>
      <c r="T70" s="1141"/>
      <c r="U70" s="1141"/>
      <c r="V70" s="1141"/>
      <c r="W70" s="1141"/>
      <c r="X70" s="1141"/>
      <c r="Y70" s="1141"/>
      <c r="Z70" s="1141"/>
      <c r="AA70" s="1141"/>
      <c r="AB70" s="1141"/>
      <c r="AC70" s="1141"/>
      <c r="AD70" s="1141"/>
      <c r="AE70" s="1141"/>
      <c r="AF70" s="1141"/>
      <c r="AG70" s="1141"/>
      <c r="AH70" s="1141"/>
      <c r="AI70" s="1141"/>
      <c r="AJ70" s="1141"/>
      <c r="AK70" s="1141"/>
      <c r="AL70" s="1141"/>
      <c r="AM70" s="1141"/>
      <c r="AN70" s="1141"/>
      <c r="AO70" s="1141"/>
      <c r="AP70" s="1141"/>
      <c r="AQ70" s="1141"/>
      <c r="AR70" s="1141"/>
      <c r="AS70" s="1141"/>
      <c r="AT70" s="1141"/>
      <c r="AU70" s="1141"/>
      <c r="AV70" s="1141"/>
      <c r="AW70" s="1141"/>
      <c r="AX70" s="1141"/>
      <c r="AY70" s="1142"/>
    </row>
    <row r="71" spans="1:51" x14ac:dyDescent="0.35">
      <c r="A71" s="1143" t="s">
        <v>3624</v>
      </c>
      <c r="B71" s="1159"/>
      <c r="C71" s="1159"/>
      <c r="D71" s="1159"/>
      <c r="E71" s="1159"/>
      <c r="F71" s="1159"/>
      <c r="G71" s="1159"/>
      <c r="H71" s="1159"/>
      <c r="I71" s="1159"/>
      <c r="J71" s="1159"/>
      <c r="K71" s="1159"/>
      <c r="L71" s="1159"/>
      <c r="M71" s="1159"/>
      <c r="N71" s="1159"/>
      <c r="O71" s="1159"/>
      <c r="P71" s="1159"/>
      <c r="Q71" s="1159"/>
      <c r="R71" s="1159"/>
      <c r="S71" s="1159"/>
      <c r="T71" s="1159"/>
      <c r="U71" s="1159"/>
      <c r="V71" s="1159"/>
      <c r="W71" s="1159"/>
      <c r="X71" s="1159"/>
      <c r="Y71" s="1159"/>
      <c r="Z71" s="1159"/>
      <c r="AA71" s="1159"/>
      <c r="AB71" s="1159"/>
      <c r="AC71" s="1159"/>
      <c r="AD71" s="1159"/>
      <c r="AE71" s="1159"/>
      <c r="AF71" s="1159"/>
      <c r="AG71" s="1159"/>
      <c r="AH71" s="1159"/>
      <c r="AI71" s="1159"/>
      <c r="AJ71" s="1159"/>
      <c r="AK71" s="1159"/>
      <c r="AL71" s="1159"/>
      <c r="AM71" s="1159"/>
      <c r="AN71" s="1159"/>
      <c r="AO71" s="1159"/>
      <c r="AP71" s="1159"/>
      <c r="AQ71" s="1159"/>
      <c r="AR71" s="1159"/>
      <c r="AS71" s="1159"/>
      <c r="AT71" s="1159"/>
      <c r="AU71" s="1159"/>
      <c r="AV71" s="1159"/>
      <c r="AW71" s="1159"/>
      <c r="AX71" s="1159"/>
      <c r="AY71" s="1160"/>
    </row>
    <row r="72" spans="1:51" x14ac:dyDescent="0.35">
      <c r="A72" s="1140" t="s">
        <v>3625</v>
      </c>
      <c r="B72" s="1141"/>
      <c r="C72" s="1141"/>
      <c r="D72" s="1141"/>
      <c r="E72" s="1141"/>
      <c r="F72" s="1141"/>
      <c r="G72" s="1141"/>
      <c r="H72" s="1141"/>
      <c r="I72" s="1141"/>
      <c r="J72" s="1141"/>
      <c r="K72" s="1141"/>
      <c r="L72" s="1141"/>
      <c r="M72" s="1141"/>
      <c r="N72" s="1141"/>
      <c r="O72" s="1141"/>
      <c r="P72" s="1141"/>
      <c r="Q72" s="1141"/>
      <c r="R72" s="1141"/>
      <c r="S72" s="1141"/>
      <c r="T72" s="1141"/>
      <c r="U72" s="1141"/>
      <c r="V72" s="1141"/>
      <c r="W72" s="1141"/>
      <c r="X72" s="1141"/>
      <c r="Y72" s="1141"/>
      <c r="Z72" s="1141"/>
      <c r="AA72" s="1141"/>
      <c r="AB72" s="1141"/>
      <c r="AC72" s="1141"/>
      <c r="AD72" s="1141"/>
      <c r="AE72" s="1141"/>
      <c r="AF72" s="1141"/>
      <c r="AG72" s="1141"/>
      <c r="AH72" s="1141"/>
      <c r="AI72" s="1141"/>
      <c r="AJ72" s="1141"/>
      <c r="AK72" s="1141"/>
      <c r="AL72" s="1141"/>
      <c r="AM72" s="1141"/>
      <c r="AN72" s="1141"/>
      <c r="AO72" s="1141"/>
      <c r="AP72" s="1141"/>
      <c r="AQ72" s="1141"/>
      <c r="AR72" s="1141"/>
      <c r="AS72" s="1141"/>
      <c r="AT72" s="1141"/>
      <c r="AU72" s="1141"/>
      <c r="AV72" s="1141"/>
      <c r="AW72" s="1141"/>
      <c r="AX72" s="1141"/>
      <c r="AY72" s="1142"/>
    </row>
    <row r="73" spans="1:51" x14ac:dyDescent="0.35">
      <c r="A73" s="1143" t="s">
        <v>3626</v>
      </c>
      <c r="B73" s="1159"/>
      <c r="C73" s="1159"/>
      <c r="D73" s="1159"/>
      <c r="E73" s="1159"/>
      <c r="F73" s="1159"/>
      <c r="G73" s="1159"/>
      <c r="H73" s="1159"/>
      <c r="I73" s="1159"/>
      <c r="J73" s="1159"/>
      <c r="K73" s="1159"/>
      <c r="L73" s="1159"/>
      <c r="M73" s="1159"/>
      <c r="N73" s="1159"/>
      <c r="O73" s="1159"/>
      <c r="P73" s="1159"/>
      <c r="Q73" s="1159"/>
      <c r="R73" s="1159"/>
      <c r="S73" s="1159"/>
      <c r="T73" s="1159"/>
      <c r="U73" s="1159"/>
      <c r="V73" s="1159"/>
      <c r="W73" s="1159"/>
      <c r="X73" s="1159"/>
      <c r="Y73" s="1159"/>
      <c r="Z73" s="1159"/>
      <c r="AA73" s="1159"/>
      <c r="AB73" s="1159"/>
      <c r="AC73" s="1159"/>
      <c r="AD73" s="1159"/>
      <c r="AE73" s="1159"/>
      <c r="AF73" s="1159"/>
      <c r="AG73" s="1159"/>
      <c r="AH73" s="1159"/>
      <c r="AI73" s="1159"/>
      <c r="AJ73" s="1159"/>
      <c r="AK73" s="1159"/>
      <c r="AL73" s="1159"/>
      <c r="AM73" s="1159"/>
      <c r="AN73" s="1159"/>
      <c r="AO73" s="1159"/>
      <c r="AP73" s="1159"/>
      <c r="AQ73" s="1159"/>
      <c r="AR73" s="1159"/>
      <c r="AS73" s="1159"/>
      <c r="AT73" s="1159"/>
      <c r="AU73" s="1159"/>
      <c r="AV73" s="1159"/>
      <c r="AW73" s="1159"/>
      <c r="AX73" s="1159"/>
      <c r="AY73" s="1160"/>
    </row>
    <row r="74" spans="1:51" x14ac:dyDescent="0.35">
      <c r="A74" s="1140" t="s">
        <v>3627</v>
      </c>
      <c r="B74" s="1141"/>
      <c r="C74" s="1141"/>
      <c r="D74" s="1141"/>
      <c r="E74" s="1141"/>
      <c r="F74" s="1141"/>
      <c r="G74" s="1141"/>
      <c r="H74" s="1141"/>
      <c r="I74" s="1141"/>
      <c r="J74" s="1141"/>
      <c r="K74" s="1141"/>
      <c r="L74" s="1141"/>
      <c r="M74" s="1141"/>
      <c r="N74" s="1141"/>
      <c r="O74" s="1141"/>
      <c r="P74" s="1141"/>
      <c r="Q74" s="1141"/>
      <c r="R74" s="1141"/>
      <c r="S74" s="1141"/>
      <c r="T74" s="1141"/>
      <c r="U74" s="1141"/>
      <c r="V74" s="1141"/>
      <c r="W74" s="1141"/>
      <c r="X74" s="1141"/>
      <c r="Y74" s="1141"/>
      <c r="Z74" s="1141"/>
      <c r="AA74" s="1141"/>
      <c r="AB74" s="1141"/>
      <c r="AC74" s="1141"/>
      <c r="AD74" s="1141"/>
      <c r="AE74" s="1141"/>
      <c r="AF74" s="1141"/>
      <c r="AG74" s="1141"/>
      <c r="AH74" s="1141"/>
      <c r="AI74" s="1141"/>
      <c r="AJ74" s="1141"/>
      <c r="AK74" s="1141"/>
      <c r="AL74" s="1141"/>
      <c r="AM74" s="1141"/>
      <c r="AN74" s="1141"/>
      <c r="AO74" s="1141"/>
      <c r="AP74" s="1141"/>
      <c r="AQ74" s="1141"/>
      <c r="AR74" s="1141"/>
      <c r="AS74" s="1141"/>
      <c r="AT74" s="1141"/>
      <c r="AU74" s="1141"/>
      <c r="AV74" s="1141"/>
      <c r="AW74" s="1141"/>
      <c r="AX74" s="1141"/>
      <c r="AY74" s="1142"/>
    </row>
    <row r="75" spans="1:51" x14ac:dyDescent="0.35">
      <c r="A75" s="1143" t="s">
        <v>3628</v>
      </c>
      <c r="B75" s="1159"/>
      <c r="C75" s="1159"/>
      <c r="D75" s="1159"/>
      <c r="E75" s="1159"/>
      <c r="F75" s="1159"/>
      <c r="G75" s="1159"/>
      <c r="H75" s="1159"/>
      <c r="I75" s="1159"/>
      <c r="J75" s="1159"/>
      <c r="K75" s="1159"/>
      <c r="L75" s="1159"/>
      <c r="M75" s="1159"/>
      <c r="N75" s="1159"/>
      <c r="O75" s="1159"/>
      <c r="P75" s="1159"/>
      <c r="Q75" s="1159"/>
      <c r="R75" s="1159"/>
      <c r="S75" s="1159"/>
      <c r="T75" s="1159"/>
      <c r="U75" s="1159"/>
      <c r="V75" s="1159"/>
      <c r="W75" s="1159"/>
      <c r="X75" s="1159"/>
      <c r="Y75" s="1159"/>
      <c r="Z75" s="1159"/>
      <c r="AA75" s="1159"/>
      <c r="AB75" s="1159"/>
      <c r="AC75" s="1159"/>
      <c r="AD75" s="1159"/>
      <c r="AE75" s="1159"/>
      <c r="AF75" s="1159"/>
      <c r="AG75" s="1159"/>
      <c r="AH75" s="1159"/>
      <c r="AI75" s="1159"/>
      <c r="AJ75" s="1159"/>
      <c r="AK75" s="1159"/>
      <c r="AL75" s="1159"/>
      <c r="AM75" s="1159"/>
      <c r="AN75" s="1159"/>
      <c r="AO75" s="1159"/>
      <c r="AP75" s="1159"/>
      <c r="AQ75" s="1159"/>
      <c r="AR75" s="1159"/>
      <c r="AS75" s="1159"/>
      <c r="AT75" s="1159"/>
      <c r="AU75" s="1159"/>
      <c r="AV75" s="1159"/>
      <c r="AW75" s="1159"/>
      <c r="AX75" s="1159"/>
      <c r="AY75" s="1160"/>
    </row>
    <row r="76" spans="1:51" x14ac:dyDescent="0.35">
      <c r="A76" s="1181" t="s">
        <v>3629</v>
      </c>
      <c r="B76" s="1182"/>
      <c r="C76" s="1182"/>
      <c r="D76" s="1182"/>
      <c r="E76" s="1182"/>
      <c r="F76" s="1182"/>
      <c r="G76" s="1182"/>
      <c r="H76" s="1182"/>
      <c r="I76" s="1182"/>
      <c r="J76" s="1182"/>
      <c r="K76" s="1182"/>
      <c r="L76" s="1182"/>
      <c r="M76" s="1182"/>
      <c r="N76" s="1182"/>
      <c r="O76" s="1182"/>
      <c r="P76" s="1182"/>
      <c r="Q76" s="1182"/>
      <c r="R76" s="1182"/>
      <c r="S76" s="1182"/>
      <c r="T76" s="1182"/>
      <c r="U76" s="1182"/>
      <c r="V76" s="1182"/>
      <c r="W76" s="1182"/>
      <c r="X76" s="1182"/>
      <c r="Y76" s="1182"/>
      <c r="Z76" s="1182"/>
      <c r="AA76" s="1182"/>
      <c r="AB76" s="1182"/>
      <c r="AC76" s="1182"/>
      <c r="AD76" s="1182"/>
      <c r="AE76" s="1182"/>
      <c r="AF76" s="1182"/>
      <c r="AG76" s="1182"/>
      <c r="AH76" s="1182"/>
      <c r="AI76" s="1182"/>
      <c r="AJ76" s="1182"/>
      <c r="AK76" s="1182"/>
      <c r="AL76" s="1182"/>
      <c r="AM76" s="1182"/>
      <c r="AN76" s="1182"/>
      <c r="AO76" s="1182"/>
      <c r="AP76" s="1182"/>
      <c r="AQ76" s="1182"/>
      <c r="AR76" s="1182"/>
      <c r="AS76" s="1182"/>
      <c r="AT76" s="1182"/>
      <c r="AU76" s="1182"/>
      <c r="AV76" s="1182"/>
      <c r="AW76" s="1182"/>
      <c r="AX76" s="1182"/>
      <c r="AY76" s="1183"/>
    </row>
    <row r="77" spans="1:51" x14ac:dyDescent="0.35">
      <c r="A77" s="1178" t="s">
        <v>3630</v>
      </c>
      <c r="B77" s="1179"/>
      <c r="C77" s="1179"/>
      <c r="D77" s="1179"/>
      <c r="E77" s="1179"/>
      <c r="F77" s="1179"/>
      <c r="G77" s="1179"/>
      <c r="H77" s="1179"/>
      <c r="I77" s="1179"/>
      <c r="J77" s="1179"/>
      <c r="K77" s="1179"/>
      <c r="L77" s="1179"/>
      <c r="M77" s="1179"/>
      <c r="N77" s="1179"/>
      <c r="O77" s="1179"/>
      <c r="P77" s="1179"/>
      <c r="Q77" s="1179"/>
      <c r="R77" s="1179"/>
      <c r="S77" s="1179"/>
      <c r="T77" s="1179"/>
      <c r="U77" s="1179"/>
      <c r="V77" s="1179"/>
      <c r="W77" s="1179"/>
      <c r="X77" s="1179"/>
      <c r="Y77" s="1179"/>
      <c r="Z77" s="1179"/>
      <c r="AA77" s="1179"/>
      <c r="AB77" s="1179"/>
      <c r="AC77" s="1179"/>
      <c r="AD77" s="1179"/>
      <c r="AE77" s="1179"/>
      <c r="AF77" s="1179"/>
      <c r="AG77" s="1179"/>
      <c r="AH77" s="1179"/>
      <c r="AI77" s="1179"/>
      <c r="AJ77" s="1179"/>
      <c r="AK77" s="1179"/>
      <c r="AL77" s="1179"/>
      <c r="AM77" s="1179"/>
      <c r="AN77" s="1179"/>
      <c r="AO77" s="1179"/>
      <c r="AP77" s="1179"/>
      <c r="AQ77" s="1179"/>
      <c r="AR77" s="1179"/>
      <c r="AS77" s="1179"/>
      <c r="AT77" s="1179"/>
      <c r="AU77" s="1179"/>
      <c r="AV77" s="1179"/>
      <c r="AW77" s="1179"/>
      <c r="AX77" s="1179"/>
      <c r="AY77" s="1180"/>
    </row>
    <row r="78" spans="1:51" x14ac:dyDescent="0.35">
      <c r="A78" s="1153" t="s">
        <v>3631</v>
      </c>
      <c r="B78" s="1154"/>
      <c r="C78" s="1154"/>
      <c r="D78" s="1154"/>
      <c r="E78" s="1154"/>
      <c r="F78" s="1154"/>
      <c r="G78" s="1154"/>
      <c r="H78" s="1154"/>
      <c r="I78" s="1154"/>
      <c r="J78" s="1154"/>
      <c r="K78" s="1154"/>
      <c r="L78" s="1154"/>
      <c r="M78" s="1154"/>
      <c r="N78" s="1154"/>
      <c r="O78" s="1154"/>
      <c r="P78" s="1154"/>
      <c r="Q78" s="1154"/>
      <c r="R78" s="1154"/>
      <c r="S78" s="1154"/>
      <c r="T78" s="1154"/>
      <c r="U78" s="1154"/>
      <c r="V78" s="1154"/>
      <c r="W78" s="1154"/>
      <c r="X78" s="1154"/>
      <c r="Y78" s="1154"/>
      <c r="Z78" s="1154"/>
      <c r="AA78" s="1154"/>
      <c r="AB78" s="1154"/>
      <c r="AC78" s="1154"/>
      <c r="AD78" s="1154"/>
      <c r="AE78" s="1154"/>
      <c r="AF78" s="1154"/>
      <c r="AG78" s="1154"/>
      <c r="AH78" s="1154"/>
      <c r="AI78" s="1154"/>
      <c r="AJ78" s="1154"/>
      <c r="AK78" s="1154"/>
      <c r="AL78" s="1154"/>
      <c r="AM78" s="1154"/>
      <c r="AN78" s="1154"/>
      <c r="AO78" s="1154"/>
      <c r="AP78" s="1154"/>
      <c r="AQ78" s="1154"/>
      <c r="AR78" s="1154"/>
      <c r="AS78" s="1154"/>
      <c r="AT78" s="1154"/>
      <c r="AU78" s="1154"/>
      <c r="AV78" s="1154"/>
      <c r="AW78" s="1154"/>
      <c r="AX78" s="1154"/>
      <c r="AY78" s="1155"/>
    </row>
    <row r="79" spans="1:51" x14ac:dyDescent="0.35">
      <c r="A79" s="1175" t="s">
        <v>3632</v>
      </c>
      <c r="B79" s="1176"/>
      <c r="C79" s="1176"/>
      <c r="D79" s="1176"/>
      <c r="E79" s="1176"/>
      <c r="F79" s="1176"/>
      <c r="G79" s="1176"/>
      <c r="H79" s="1176"/>
      <c r="I79" s="1176"/>
      <c r="J79" s="1176"/>
      <c r="K79" s="1176"/>
      <c r="L79" s="1176"/>
      <c r="M79" s="1176"/>
      <c r="N79" s="1176"/>
      <c r="O79" s="1176"/>
      <c r="P79" s="1176"/>
      <c r="Q79" s="1176"/>
      <c r="R79" s="1176"/>
      <c r="S79" s="1176"/>
      <c r="T79" s="1176"/>
      <c r="U79" s="1176"/>
      <c r="V79" s="1176"/>
      <c r="W79" s="1176"/>
      <c r="X79" s="1176"/>
      <c r="Y79" s="1176"/>
      <c r="Z79" s="1176"/>
      <c r="AA79" s="1176"/>
      <c r="AB79" s="1176"/>
      <c r="AC79" s="1176"/>
      <c r="AD79" s="1176"/>
      <c r="AE79" s="1176"/>
      <c r="AF79" s="1176"/>
      <c r="AG79" s="1176"/>
      <c r="AH79" s="1176"/>
      <c r="AI79" s="1176"/>
      <c r="AJ79" s="1176"/>
      <c r="AK79" s="1176"/>
      <c r="AL79" s="1176"/>
      <c r="AM79" s="1176"/>
      <c r="AN79" s="1176"/>
      <c r="AO79" s="1176"/>
      <c r="AP79" s="1176"/>
      <c r="AQ79" s="1176"/>
      <c r="AR79" s="1176"/>
      <c r="AS79" s="1176"/>
      <c r="AT79" s="1176"/>
      <c r="AU79" s="1176"/>
      <c r="AV79" s="1176"/>
      <c r="AW79" s="1176"/>
      <c r="AX79" s="1176"/>
      <c r="AY79" s="1177"/>
    </row>
    <row r="80" spans="1:51" x14ac:dyDescent="0.35">
      <c r="A80" s="1152" t="s">
        <v>3633</v>
      </c>
      <c r="B80" s="1173"/>
      <c r="C80" s="1173"/>
      <c r="D80" s="1173"/>
      <c r="E80" s="1173"/>
      <c r="F80" s="1173"/>
      <c r="G80" s="1173"/>
      <c r="H80" s="1173"/>
      <c r="I80" s="1173"/>
      <c r="J80" s="1173"/>
      <c r="K80" s="1173"/>
      <c r="L80" s="1173"/>
      <c r="M80" s="1173"/>
      <c r="N80" s="1173"/>
      <c r="O80" s="1173"/>
      <c r="P80" s="1173"/>
      <c r="Q80" s="1173"/>
      <c r="R80" s="1173"/>
      <c r="S80" s="1173"/>
      <c r="T80" s="1173"/>
      <c r="U80" s="1173"/>
      <c r="V80" s="1173"/>
      <c r="W80" s="1173"/>
      <c r="X80" s="1173"/>
      <c r="Y80" s="1173"/>
      <c r="Z80" s="1173"/>
      <c r="AA80" s="1173"/>
      <c r="AB80" s="1173"/>
      <c r="AC80" s="1173"/>
      <c r="AD80" s="1173"/>
      <c r="AE80" s="1173"/>
      <c r="AF80" s="1173"/>
      <c r="AG80" s="1173"/>
      <c r="AH80" s="1173"/>
      <c r="AI80" s="1173"/>
      <c r="AJ80" s="1173"/>
      <c r="AK80" s="1173"/>
      <c r="AL80" s="1173"/>
      <c r="AM80" s="1173"/>
      <c r="AN80" s="1173"/>
      <c r="AO80" s="1173"/>
      <c r="AP80" s="1173"/>
      <c r="AQ80" s="1173"/>
      <c r="AR80" s="1173"/>
      <c r="AS80" s="1173"/>
      <c r="AT80" s="1173"/>
      <c r="AU80" s="1173"/>
      <c r="AV80" s="1173"/>
      <c r="AW80" s="1173"/>
      <c r="AX80" s="1173"/>
      <c r="AY80" s="1174"/>
    </row>
    <row r="81" spans="1:51" x14ac:dyDescent="0.35">
      <c r="A81" s="1153" t="s">
        <v>3634</v>
      </c>
      <c r="B81" s="1154"/>
      <c r="C81" s="1154"/>
      <c r="D81" s="1154"/>
      <c r="E81" s="1154"/>
      <c r="F81" s="1154"/>
      <c r="G81" s="1154"/>
      <c r="H81" s="1154"/>
      <c r="I81" s="1154"/>
      <c r="J81" s="1154"/>
      <c r="K81" s="1154"/>
      <c r="L81" s="1154"/>
      <c r="M81" s="1154"/>
      <c r="N81" s="1154"/>
      <c r="O81" s="1154"/>
      <c r="P81" s="1154"/>
      <c r="Q81" s="1154"/>
      <c r="R81" s="1154"/>
      <c r="S81" s="1154"/>
      <c r="T81" s="1154"/>
      <c r="U81" s="1154"/>
      <c r="V81" s="1154"/>
      <c r="W81" s="1154"/>
      <c r="X81" s="1154"/>
      <c r="Y81" s="1154"/>
      <c r="Z81" s="1154"/>
      <c r="AA81" s="1154"/>
      <c r="AB81" s="1154"/>
      <c r="AC81" s="1154"/>
      <c r="AD81" s="1154"/>
      <c r="AE81" s="1154"/>
      <c r="AF81" s="1154"/>
      <c r="AG81" s="1154"/>
      <c r="AH81" s="1154"/>
      <c r="AI81" s="1154"/>
      <c r="AJ81" s="1154"/>
      <c r="AK81" s="1154"/>
      <c r="AL81" s="1154"/>
      <c r="AM81" s="1154"/>
      <c r="AN81" s="1154"/>
      <c r="AO81" s="1154"/>
      <c r="AP81" s="1154"/>
      <c r="AQ81" s="1154"/>
      <c r="AR81" s="1154"/>
      <c r="AS81" s="1154"/>
      <c r="AT81" s="1154"/>
      <c r="AU81" s="1154"/>
      <c r="AV81" s="1154"/>
      <c r="AW81" s="1154"/>
      <c r="AX81" s="1154"/>
      <c r="AY81" s="1155"/>
    </row>
    <row r="82" spans="1:51" x14ac:dyDescent="0.35">
      <c r="A82" s="1140" t="s">
        <v>3635</v>
      </c>
      <c r="B82" s="1141"/>
      <c r="C82" s="1141"/>
      <c r="D82" s="1141"/>
      <c r="E82" s="1141"/>
      <c r="F82" s="1141"/>
      <c r="G82" s="1141"/>
      <c r="H82" s="1141"/>
      <c r="I82" s="1141"/>
      <c r="J82" s="1141"/>
      <c r="K82" s="1141"/>
      <c r="L82" s="1141"/>
      <c r="M82" s="1141"/>
      <c r="N82" s="1141"/>
      <c r="O82" s="1141"/>
      <c r="P82" s="1141"/>
      <c r="Q82" s="1141"/>
      <c r="R82" s="1141"/>
      <c r="S82" s="1141"/>
      <c r="T82" s="1141"/>
      <c r="U82" s="1141"/>
      <c r="V82" s="1141"/>
      <c r="W82" s="1141"/>
      <c r="X82" s="1141"/>
      <c r="Y82" s="1141"/>
      <c r="Z82" s="1141"/>
      <c r="AA82" s="1141"/>
      <c r="AB82" s="1141"/>
      <c r="AC82" s="1141"/>
      <c r="AD82" s="1141"/>
      <c r="AE82" s="1141"/>
      <c r="AF82" s="1141"/>
      <c r="AG82" s="1141"/>
      <c r="AH82" s="1141"/>
      <c r="AI82" s="1141"/>
      <c r="AJ82" s="1141"/>
      <c r="AK82" s="1141"/>
      <c r="AL82" s="1141"/>
      <c r="AM82" s="1141"/>
      <c r="AN82" s="1141"/>
      <c r="AO82" s="1141"/>
      <c r="AP82" s="1141"/>
      <c r="AQ82" s="1141"/>
      <c r="AR82" s="1141"/>
      <c r="AS82" s="1141"/>
      <c r="AT82" s="1141"/>
      <c r="AU82" s="1141"/>
      <c r="AV82" s="1141"/>
      <c r="AW82" s="1141"/>
      <c r="AX82" s="1141"/>
      <c r="AY82" s="1142"/>
    </row>
    <row r="83" spans="1:51" x14ac:dyDescent="0.35">
      <c r="A83" s="1143" t="s">
        <v>3636</v>
      </c>
      <c r="B83" s="1159"/>
      <c r="C83" s="1159"/>
      <c r="D83" s="1159"/>
      <c r="E83" s="1159"/>
      <c r="F83" s="1159"/>
      <c r="G83" s="1159"/>
      <c r="H83" s="1159"/>
      <c r="I83" s="1159"/>
      <c r="J83" s="1159"/>
      <c r="K83" s="1159"/>
      <c r="L83" s="1159"/>
      <c r="M83" s="1159"/>
      <c r="N83" s="1159"/>
      <c r="O83" s="1159"/>
      <c r="P83" s="1159"/>
      <c r="Q83" s="1159"/>
      <c r="R83" s="1159"/>
      <c r="S83" s="1159"/>
      <c r="T83" s="1159"/>
      <c r="U83" s="1159"/>
      <c r="V83" s="1159"/>
      <c r="W83" s="1159"/>
      <c r="X83" s="1159"/>
      <c r="Y83" s="1159"/>
      <c r="Z83" s="1159"/>
      <c r="AA83" s="1159"/>
      <c r="AB83" s="1159"/>
      <c r="AC83" s="1159"/>
      <c r="AD83" s="1159"/>
      <c r="AE83" s="1159"/>
      <c r="AF83" s="1159"/>
      <c r="AG83" s="1159"/>
      <c r="AH83" s="1159"/>
      <c r="AI83" s="1159"/>
      <c r="AJ83" s="1159"/>
      <c r="AK83" s="1159"/>
      <c r="AL83" s="1159"/>
      <c r="AM83" s="1159"/>
      <c r="AN83" s="1159"/>
      <c r="AO83" s="1159"/>
      <c r="AP83" s="1159"/>
      <c r="AQ83" s="1159"/>
      <c r="AR83" s="1159"/>
      <c r="AS83" s="1159"/>
      <c r="AT83" s="1159"/>
      <c r="AU83" s="1159"/>
      <c r="AV83" s="1159"/>
      <c r="AW83" s="1159"/>
      <c r="AX83" s="1159"/>
      <c r="AY83" s="1160"/>
    </row>
    <row r="84" spans="1:51" x14ac:dyDescent="0.35">
      <c r="A84" s="312" t="s">
        <v>3637</v>
      </c>
      <c r="B84" s="313"/>
      <c r="C84" s="313"/>
      <c r="D84" s="313"/>
      <c r="E84" s="313"/>
      <c r="F84" s="313"/>
      <c r="G84" s="313"/>
      <c r="H84" s="313"/>
      <c r="I84" s="313"/>
      <c r="J84" s="313"/>
      <c r="K84" s="313"/>
      <c r="L84" s="313"/>
      <c r="M84" s="313"/>
      <c r="N84" s="313"/>
      <c r="O84" s="313"/>
      <c r="P84" s="313"/>
      <c r="Q84" s="313"/>
      <c r="R84" s="313"/>
      <c r="S84" s="313"/>
      <c r="T84" s="313"/>
      <c r="U84" s="313"/>
      <c r="V84" s="313"/>
      <c r="W84" s="313"/>
      <c r="X84" s="313"/>
      <c r="Y84" s="313"/>
      <c r="Z84" s="313"/>
      <c r="AA84" s="313"/>
      <c r="AB84" s="313"/>
      <c r="AC84" s="313"/>
      <c r="AD84" s="313"/>
      <c r="AE84" s="313"/>
      <c r="AF84" s="313"/>
      <c r="AG84" s="313"/>
      <c r="AH84" s="313"/>
      <c r="AI84" s="313"/>
      <c r="AJ84" s="313"/>
      <c r="AK84" s="313"/>
      <c r="AL84" s="313"/>
      <c r="AM84" s="313"/>
      <c r="AN84" s="313"/>
      <c r="AO84" s="313"/>
      <c r="AP84" s="313"/>
      <c r="AQ84" s="313"/>
      <c r="AR84" s="313"/>
      <c r="AS84" s="313"/>
      <c r="AT84" s="313"/>
      <c r="AU84" s="313"/>
      <c r="AV84" s="313"/>
      <c r="AW84" s="313"/>
      <c r="AX84" s="313"/>
      <c r="AY84" s="314"/>
    </row>
    <row r="85" spans="1:51" x14ac:dyDescent="0.35">
      <c r="A85" s="1152" t="s">
        <v>3638</v>
      </c>
      <c r="B85" s="1147"/>
      <c r="C85" s="1147"/>
      <c r="D85" s="1147"/>
      <c r="E85" s="1147"/>
      <c r="F85" s="1147"/>
      <c r="G85" s="1147"/>
      <c r="H85" s="1147"/>
      <c r="I85" s="1147"/>
      <c r="J85" s="1147"/>
      <c r="K85" s="1147"/>
      <c r="L85" s="1147"/>
      <c r="M85" s="1147"/>
      <c r="N85" s="1147"/>
      <c r="O85" s="1147"/>
      <c r="P85" s="1147"/>
      <c r="Q85" s="1147"/>
      <c r="R85" s="1147"/>
      <c r="S85" s="1147"/>
      <c r="T85" s="1147"/>
      <c r="U85" s="1147"/>
      <c r="V85" s="1147"/>
      <c r="W85" s="1147"/>
      <c r="X85" s="1147"/>
      <c r="Y85" s="1147"/>
      <c r="Z85" s="1147"/>
      <c r="AA85" s="1147"/>
      <c r="AB85" s="1147"/>
      <c r="AC85" s="1147"/>
      <c r="AD85" s="1147"/>
      <c r="AE85" s="1147"/>
      <c r="AF85" s="1147"/>
      <c r="AG85" s="1147"/>
      <c r="AH85" s="1147"/>
      <c r="AI85" s="1147"/>
      <c r="AJ85" s="1147"/>
      <c r="AK85" s="1147"/>
      <c r="AL85" s="1147"/>
      <c r="AM85" s="1147"/>
      <c r="AN85" s="1147"/>
      <c r="AO85" s="1147"/>
      <c r="AP85" s="1147"/>
      <c r="AQ85" s="1147"/>
      <c r="AR85" s="1147"/>
      <c r="AS85" s="1147"/>
      <c r="AT85" s="1147"/>
      <c r="AU85" s="1147"/>
      <c r="AV85" s="1147"/>
      <c r="AW85" s="1147"/>
      <c r="AX85" s="1147"/>
      <c r="AY85" s="1148"/>
    </row>
    <row r="86" spans="1:51" x14ac:dyDescent="0.35">
      <c r="A86" s="1153" t="s">
        <v>3639</v>
      </c>
      <c r="B86" s="1154"/>
      <c r="C86" s="1154"/>
      <c r="D86" s="1154"/>
      <c r="E86" s="1154"/>
      <c r="F86" s="1154"/>
      <c r="G86" s="1154"/>
      <c r="H86" s="1154"/>
      <c r="I86" s="1154"/>
      <c r="J86" s="1154"/>
      <c r="K86" s="1154"/>
      <c r="L86" s="1154"/>
      <c r="M86" s="1154"/>
      <c r="N86" s="1154"/>
      <c r="O86" s="1154"/>
      <c r="P86" s="1154"/>
      <c r="Q86" s="1154"/>
      <c r="R86" s="1154"/>
      <c r="S86" s="1154"/>
      <c r="T86" s="1154"/>
      <c r="U86" s="1154"/>
      <c r="V86" s="1154"/>
      <c r="W86" s="1154"/>
      <c r="X86" s="1154"/>
      <c r="Y86" s="1154"/>
      <c r="Z86" s="1154"/>
      <c r="AA86" s="1154"/>
      <c r="AB86" s="1154"/>
      <c r="AC86" s="1154"/>
      <c r="AD86" s="1154"/>
      <c r="AE86" s="1154"/>
      <c r="AF86" s="1154"/>
      <c r="AG86" s="1154"/>
      <c r="AH86" s="1154"/>
      <c r="AI86" s="1154"/>
      <c r="AJ86" s="1154"/>
      <c r="AK86" s="1154"/>
      <c r="AL86" s="1154"/>
      <c r="AM86" s="1154"/>
      <c r="AN86" s="1154"/>
      <c r="AO86" s="1154"/>
      <c r="AP86" s="1154"/>
      <c r="AQ86" s="1154"/>
      <c r="AR86" s="1154"/>
      <c r="AS86" s="1154"/>
      <c r="AT86" s="1154"/>
      <c r="AU86" s="1154"/>
      <c r="AV86" s="1154"/>
      <c r="AW86" s="1154"/>
      <c r="AX86" s="1154"/>
      <c r="AY86" s="1155"/>
    </row>
    <row r="87" spans="1:51" x14ac:dyDescent="0.35">
      <c r="A87" s="1156" t="s">
        <v>3640</v>
      </c>
      <c r="B87" s="1157"/>
      <c r="C87" s="1157"/>
      <c r="D87" s="1157"/>
      <c r="E87" s="1157"/>
      <c r="F87" s="1157"/>
      <c r="G87" s="1157"/>
      <c r="H87" s="1157"/>
      <c r="I87" s="1157"/>
      <c r="J87" s="1157"/>
      <c r="K87" s="1157"/>
      <c r="L87" s="1157"/>
      <c r="M87" s="1157"/>
      <c r="N87" s="1157"/>
      <c r="O87" s="1157"/>
      <c r="P87" s="1157"/>
      <c r="Q87" s="1157"/>
      <c r="R87" s="1157"/>
      <c r="S87" s="1157"/>
      <c r="T87" s="1157"/>
      <c r="U87" s="1157"/>
      <c r="V87" s="1157"/>
      <c r="W87" s="1157"/>
      <c r="X87" s="1157"/>
      <c r="Y87" s="1157"/>
      <c r="Z87" s="1157"/>
      <c r="AA87" s="1157"/>
      <c r="AB87" s="1157"/>
      <c r="AC87" s="1157"/>
      <c r="AD87" s="1157"/>
      <c r="AE87" s="1157"/>
      <c r="AF87" s="1157"/>
      <c r="AG87" s="1157"/>
      <c r="AH87" s="1157"/>
      <c r="AI87" s="1157"/>
      <c r="AJ87" s="1157"/>
      <c r="AK87" s="1157"/>
      <c r="AL87" s="1157"/>
      <c r="AM87" s="1157"/>
      <c r="AN87" s="1157"/>
      <c r="AO87" s="1157"/>
      <c r="AP87" s="1157"/>
      <c r="AQ87" s="1157"/>
      <c r="AR87" s="1157"/>
      <c r="AS87" s="1157"/>
      <c r="AT87" s="1157"/>
      <c r="AU87" s="1157"/>
      <c r="AV87" s="1157"/>
      <c r="AW87" s="1157"/>
      <c r="AX87" s="1157"/>
      <c r="AY87" s="1158"/>
    </row>
    <row r="88" spans="1:51" x14ac:dyDescent="0.35">
      <c r="A88" s="1143" t="s">
        <v>3641</v>
      </c>
      <c r="B88" s="1144"/>
      <c r="C88" s="1144"/>
      <c r="D88" s="1144"/>
      <c r="E88" s="1144"/>
      <c r="F88" s="1144"/>
      <c r="G88" s="1144"/>
      <c r="H88" s="1144"/>
      <c r="I88" s="1144"/>
      <c r="J88" s="1144"/>
      <c r="K88" s="1144"/>
      <c r="L88" s="1144"/>
      <c r="M88" s="1144"/>
      <c r="N88" s="1144"/>
      <c r="O88" s="1144"/>
      <c r="P88" s="1144"/>
      <c r="Q88" s="1144"/>
      <c r="R88" s="1144"/>
      <c r="S88" s="1144"/>
      <c r="T88" s="1144"/>
      <c r="U88" s="1144"/>
      <c r="V88" s="1144"/>
      <c r="W88" s="1144"/>
      <c r="X88" s="1144"/>
      <c r="Y88" s="1144"/>
      <c r="Z88" s="1144"/>
      <c r="AA88" s="1144"/>
      <c r="AB88" s="1144"/>
      <c r="AC88" s="1144"/>
      <c r="AD88" s="1144"/>
      <c r="AE88" s="1144"/>
      <c r="AF88" s="1144"/>
      <c r="AG88" s="1144"/>
      <c r="AH88" s="1144"/>
      <c r="AI88" s="1144"/>
      <c r="AJ88" s="1144"/>
      <c r="AK88" s="1144"/>
      <c r="AL88" s="1144"/>
      <c r="AM88" s="1144"/>
      <c r="AN88" s="1144"/>
      <c r="AO88" s="1144"/>
      <c r="AP88" s="1144"/>
      <c r="AQ88" s="1144"/>
      <c r="AR88" s="1144"/>
      <c r="AS88" s="1144"/>
      <c r="AT88" s="1144"/>
      <c r="AU88" s="1144"/>
      <c r="AV88" s="1144"/>
      <c r="AW88" s="1144"/>
      <c r="AX88" s="1144"/>
      <c r="AY88" s="1145"/>
    </row>
    <row r="89" spans="1:51" x14ac:dyDescent="0.35">
      <c r="A89" s="1140" t="s">
        <v>3642</v>
      </c>
      <c r="B89" s="1141"/>
      <c r="C89" s="1141"/>
      <c r="D89" s="1141"/>
      <c r="E89" s="1141"/>
      <c r="F89" s="1141"/>
      <c r="G89" s="1141"/>
      <c r="H89" s="1141"/>
      <c r="I89" s="1141"/>
      <c r="J89" s="1141"/>
      <c r="K89" s="1141"/>
      <c r="L89" s="1141"/>
      <c r="M89" s="1141"/>
      <c r="N89" s="1141"/>
      <c r="O89" s="1141"/>
      <c r="P89" s="1141"/>
      <c r="Q89" s="1141"/>
      <c r="R89" s="1141"/>
      <c r="S89" s="1141"/>
      <c r="T89" s="1141"/>
      <c r="U89" s="1141"/>
      <c r="V89" s="1141"/>
      <c r="W89" s="1141"/>
      <c r="X89" s="1141"/>
      <c r="Y89" s="1141"/>
      <c r="Z89" s="1141"/>
      <c r="AA89" s="1141"/>
      <c r="AB89" s="1141"/>
      <c r="AC89" s="1141"/>
      <c r="AD89" s="1141"/>
      <c r="AE89" s="1141"/>
      <c r="AF89" s="1141"/>
      <c r="AG89" s="1141"/>
      <c r="AH89" s="1141"/>
      <c r="AI89" s="1141"/>
      <c r="AJ89" s="1141"/>
      <c r="AK89" s="1141"/>
      <c r="AL89" s="1141"/>
      <c r="AM89" s="1141"/>
      <c r="AN89" s="1141"/>
      <c r="AO89" s="1141"/>
      <c r="AP89" s="1141"/>
      <c r="AQ89" s="1141"/>
      <c r="AR89" s="1141"/>
      <c r="AS89" s="1141"/>
      <c r="AT89" s="1141"/>
      <c r="AU89" s="1141"/>
      <c r="AV89" s="1141"/>
      <c r="AW89" s="1141"/>
      <c r="AX89" s="1141"/>
      <c r="AY89" s="1142"/>
    </row>
    <row r="90" spans="1:51" x14ac:dyDescent="0.35">
      <c r="A90" s="1143" t="s">
        <v>3643</v>
      </c>
      <c r="B90" s="1144"/>
      <c r="C90" s="1144"/>
      <c r="D90" s="1144"/>
      <c r="E90" s="1144"/>
      <c r="F90" s="1144"/>
      <c r="G90" s="1144"/>
      <c r="H90" s="1144"/>
      <c r="I90" s="1144"/>
      <c r="J90" s="1144"/>
      <c r="K90" s="1144"/>
      <c r="L90" s="1144"/>
      <c r="M90" s="1144"/>
      <c r="N90" s="1144"/>
      <c r="O90" s="1144"/>
      <c r="P90" s="1144"/>
      <c r="Q90" s="1144"/>
      <c r="R90" s="1144"/>
      <c r="S90" s="1144"/>
      <c r="T90" s="1144"/>
      <c r="U90" s="1144"/>
      <c r="V90" s="1144"/>
      <c r="W90" s="1144"/>
      <c r="X90" s="1144"/>
      <c r="Y90" s="1144"/>
      <c r="Z90" s="1144"/>
      <c r="AA90" s="1144"/>
      <c r="AB90" s="1144"/>
      <c r="AC90" s="1144"/>
      <c r="AD90" s="1144"/>
      <c r="AE90" s="1144"/>
      <c r="AF90" s="1144"/>
      <c r="AG90" s="1144"/>
      <c r="AH90" s="1144"/>
      <c r="AI90" s="1144"/>
      <c r="AJ90" s="1144"/>
      <c r="AK90" s="1144"/>
      <c r="AL90" s="1144"/>
      <c r="AM90" s="1144"/>
      <c r="AN90" s="1144"/>
      <c r="AO90" s="1144"/>
      <c r="AP90" s="1144"/>
      <c r="AQ90" s="1144"/>
      <c r="AR90" s="1144"/>
      <c r="AS90" s="1144"/>
      <c r="AT90" s="1144"/>
      <c r="AU90" s="1144"/>
      <c r="AV90" s="1144"/>
      <c r="AW90" s="1144"/>
      <c r="AX90" s="1144"/>
      <c r="AY90" s="1145"/>
    </row>
    <row r="91" spans="1:51" x14ac:dyDescent="0.35">
      <c r="A91" s="1140" t="s">
        <v>3644</v>
      </c>
      <c r="B91" s="1141"/>
      <c r="C91" s="1141"/>
      <c r="D91" s="1141"/>
      <c r="E91" s="1141"/>
      <c r="F91" s="1141"/>
      <c r="G91" s="1141"/>
      <c r="H91" s="1141"/>
      <c r="I91" s="1141"/>
      <c r="J91" s="1141"/>
      <c r="K91" s="1141"/>
      <c r="L91" s="1141"/>
      <c r="M91" s="1141"/>
      <c r="N91" s="1141"/>
      <c r="O91" s="1141"/>
      <c r="P91" s="1141"/>
      <c r="Q91" s="1141"/>
      <c r="R91" s="1141"/>
      <c r="S91" s="1141"/>
      <c r="T91" s="1141"/>
      <c r="U91" s="1141"/>
      <c r="V91" s="1141"/>
      <c r="W91" s="1141"/>
      <c r="X91" s="1141"/>
      <c r="Y91" s="1141"/>
      <c r="Z91" s="1141"/>
      <c r="AA91" s="1141"/>
      <c r="AB91" s="1141"/>
      <c r="AC91" s="1141"/>
      <c r="AD91" s="1141"/>
      <c r="AE91" s="1141"/>
      <c r="AF91" s="1141"/>
      <c r="AG91" s="1141"/>
      <c r="AH91" s="1141"/>
      <c r="AI91" s="1141"/>
      <c r="AJ91" s="1141"/>
      <c r="AK91" s="1141"/>
      <c r="AL91" s="1141"/>
      <c r="AM91" s="1141"/>
      <c r="AN91" s="1141"/>
      <c r="AO91" s="1141"/>
      <c r="AP91" s="1141"/>
      <c r="AQ91" s="1141"/>
      <c r="AR91" s="1141"/>
      <c r="AS91" s="1141"/>
      <c r="AT91" s="1141"/>
      <c r="AU91" s="1141"/>
      <c r="AV91" s="1141"/>
      <c r="AW91" s="1141"/>
      <c r="AX91" s="1141"/>
      <c r="AY91" s="1142"/>
    </row>
    <row r="92" spans="1:51" x14ac:dyDescent="0.35">
      <c r="A92" s="1143" t="s">
        <v>3645</v>
      </c>
      <c r="B92" s="1144"/>
      <c r="C92" s="1144"/>
      <c r="D92" s="1144"/>
      <c r="E92" s="1144"/>
      <c r="F92" s="1144"/>
      <c r="G92" s="1144"/>
      <c r="H92" s="1144"/>
      <c r="I92" s="1144"/>
      <c r="J92" s="1144"/>
      <c r="K92" s="1144"/>
      <c r="L92" s="1144"/>
      <c r="M92" s="1144"/>
      <c r="N92" s="1144"/>
      <c r="O92" s="1144"/>
      <c r="P92" s="1144"/>
      <c r="Q92" s="1144"/>
      <c r="R92" s="1144"/>
      <c r="S92" s="1144"/>
      <c r="T92" s="1144"/>
      <c r="U92" s="1144"/>
      <c r="V92" s="1144"/>
      <c r="W92" s="1144"/>
      <c r="X92" s="1144"/>
      <c r="Y92" s="1144"/>
      <c r="Z92" s="1144"/>
      <c r="AA92" s="1144"/>
      <c r="AB92" s="1144"/>
      <c r="AC92" s="1144"/>
      <c r="AD92" s="1144"/>
      <c r="AE92" s="1144"/>
      <c r="AF92" s="1144"/>
      <c r="AG92" s="1144"/>
      <c r="AH92" s="1144"/>
      <c r="AI92" s="1144"/>
      <c r="AJ92" s="1144"/>
      <c r="AK92" s="1144"/>
      <c r="AL92" s="1144"/>
      <c r="AM92" s="1144"/>
      <c r="AN92" s="1144"/>
      <c r="AO92" s="1144"/>
      <c r="AP92" s="1144"/>
      <c r="AQ92" s="1144"/>
      <c r="AR92" s="1144"/>
      <c r="AS92" s="1144"/>
      <c r="AT92" s="1144"/>
      <c r="AU92" s="1144"/>
      <c r="AV92" s="1144"/>
      <c r="AW92" s="1144"/>
      <c r="AX92" s="1144"/>
      <c r="AY92" s="1145"/>
    </row>
    <row r="93" spans="1:51" x14ac:dyDescent="0.35">
      <c r="A93" s="1140" t="s">
        <v>3646</v>
      </c>
      <c r="B93" s="1141"/>
      <c r="C93" s="1141"/>
      <c r="D93" s="1141"/>
      <c r="E93" s="1141"/>
      <c r="F93" s="1141"/>
      <c r="G93" s="1141"/>
      <c r="H93" s="1141"/>
      <c r="I93" s="1141"/>
      <c r="J93" s="1141"/>
      <c r="K93" s="1141"/>
      <c r="L93" s="1141"/>
      <c r="M93" s="1141"/>
      <c r="N93" s="1141"/>
      <c r="O93" s="1141"/>
      <c r="P93" s="1141"/>
      <c r="Q93" s="1141"/>
      <c r="R93" s="1141"/>
      <c r="S93" s="1141"/>
      <c r="T93" s="1141"/>
      <c r="U93" s="1141"/>
      <c r="V93" s="1141"/>
      <c r="W93" s="1141"/>
      <c r="X93" s="1141"/>
      <c r="Y93" s="1141"/>
      <c r="Z93" s="1141"/>
      <c r="AA93" s="1141"/>
      <c r="AB93" s="1141"/>
      <c r="AC93" s="1141"/>
      <c r="AD93" s="1141"/>
      <c r="AE93" s="1141"/>
      <c r="AF93" s="1141"/>
      <c r="AG93" s="1141"/>
      <c r="AH93" s="1141"/>
      <c r="AI93" s="1141"/>
      <c r="AJ93" s="1141"/>
      <c r="AK93" s="1141"/>
      <c r="AL93" s="1141"/>
      <c r="AM93" s="1141"/>
      <c r="AN93" s="1141"/>
      <c r="AO93" s="1141"/>
      <c r="AP93" s="1141"/>
      <c r="AQ93" s="1141"/>
      <c r="AR93" s="1141"/>
      <c r="AS93" s="1141"/>
      <c r="AT93" s="1141"/>
      <c r="AU93" s="1141"/>
      <c r="AV93" s="1141"/>
      <c r="AW93" s="1141"/>
      <c r="AX93" s="1141"/>
      <c r="AY93" s="1142"/>
    </row>
    <row r="94" spans="1:51" x14ac:dyDescent="0.35">
      <c r="A94" s="1143" t="s">
        <v>3647</v>
      </c>
      <c r="B94" s="1144"/>
      <c r="C94" s="1144"/>
      <c r="D94" s="1144"/>
      <c r="E94" s="1144"/>
      <c r="F94" s="1144"/>
      <c r="G94" s="1144"/>
      <c r="H94" s="1144"/>
      <c r="I94" s="1144"/>
      <c r="J94" s="1144"/>
      <c r="K94" s="1144"/>
      <c r="L94" s="1144"/>
      <c r="M94" s="1144"/>
      <c r="N94" s="1144"/>
      <c r="O94" s="1144"/>
      <c r="P94" s="1144"/>
      <c r="Q94" s="1144"/>
      <c r="R94" s="1144"/>
      <c r="S94" s="1144"/>
      <c r="T94" s="1144"/>
      <c r="U94" s="1144"/>
      <c r="V94" s="1144"/>
      <c r="W94" s="1144"/>
      <c r="X94" s="1144"/>
      <c r="Y94" s="1144"/>
      <c r="Z94" s="1144"/>
      <c r="AA94" s="1144"/>
      <c r="AB94" s="1144"/>
      <c r="AC94" s="1144"/>
      <c r="AD94" s="1144"/>
      <c r="AE94" s="1144"/>
      <c r="AF94" s="1144"/>
      <c r="AG94" s="1144"/>
      <c r="AH94" s="1144"/>
      <c r="AI94" s="1144"/>
      <c r="AJ94" s="1144"/>
      <c r="AK94" s="1144"/>
      <c r="AL94" s="1144"/>
      <c r="AM94" s="1144"/>
      <c r="AN94" s="1144"/>
      <c r="AO94" s="1144"/>
      <c r="AP94" s="1144"/>
      <c r="AQ94" s="1144"/>
      <c r="AR94" s="1144"/>
      <c r="AS94" s="1144"/>
      <c r="AT94" s="1144"/>
      <c r="AU94" s="1144"/>
      <c r="AV94" s="1144"/>
      <c r="AW94" s="1144"/>
      <c r="AX94" s="1144"/>
      <c r="AY94" s="1145"/>
    </row>
    <row r="95" spans="1:51" x14ac:dyDescent="0.35">
      <c r="A95" s="1140" t="s">
        <v>3648</v>
      </c>
      <c r="B95" s="1141"/>
      <c r="C95" s="1141"/>
      <c r="D95" s="1141"/>
      <c r="E95" s="1141"/>
      <c r="F95" s="1141"/>
      <c r="G95" s="1141"/>
      <c r="H95" s="1141"/>
      <c r="I95" s="1141"/>
      <c r="J95" s="1141"/>
      <c r="K95" s="1141"/>
      <c r="L95" s="1141"/>
      <c r="M95" s="1141"/>
      <c r="N95" s="1141"/>
      <c r="O95" s="1141"/>
      <c r="P95" s="1141"/>
      <c r="Q95" s="1141"/>
      <c r="R95" s="1141"/>
      <c r="S95" s="1141"/>
      <c r="T95" s="1141"/>
      <c r="U95" s="1141"/>
      <c r="V95" s="1141"/>
      <c r="W95" s="1141"/>
      <c r="X95" s="1141"/>
      <c r="Y95" s="1141"/>
      <c r="Z95" s="1141"/>
      <c r="AA95" s="1141"/>
      <c r="AB95" s="1141"/>
      <c r="AC95" s="1141"/>
      <c r="AD95" s="1141"/>
      <c r="AE95" s="1141"/>
      <c r="AF95" s="1141"/>
      <c r="AG95" s="1141"/>
      <c r="AH95" s="1141"/>
      <c r="AI95" s="1141"/>
      <c r="AJ95" s="1141"/>
      <c r="AK95" s="1141"/>
      <c r="AL95" s="1141"/>
      <c r="AM95" s="1141"/>
      <c r="AN95" s="1141"/>
      <c r="AO95" s="1141"/>
      <c r="AP95" s="1141"/>
      <c r="AQ95" s="1141"/>
      <c r="AR95" s="1141"/>
      <c r="AS95" s="1141"/>
      <c r="AT95" s="1141"/>
      <c r="AU95" s="1141"/>
      <c r="AV95" s="1141"/>
      <c r="AW95" s="1141"/>
      <c r="AX95" s="1141"/>
      <c r="AY95" s="1142"/>
    </row>
    <row r="96" spans="1:51" x14ac:dyDescent="0.35">
      <c r="A96" s="1143" t="s">
        <v>3649</v>
      </c>
      <c r="B96" s="1144"/>
      <c r="C96" s="1144"/>
      <c r="D96" s="1144"/>
      <c r="E96" s="1144"/>
      <c r="F96" s="1144"/>
      <c r="G96" s="1144"/>
      <c r="H96" s="1144"/>
      <c r="I96" s="1144"/>
      <c r="J96" s="1144"/>
      <c r="K96" s="1144"/>
      <c r="L96" s="1144"/>
      <c r="M96" s="1144"/>
      <c r="N96" s="1144"/>
      <c r="O96" s="1144"/>
      <c r="P96" s="1144"/>
      <c r="Q96" s="1144"/>
      <c r="R96" s="1144"/>
      <c r="S96" s="1144"/>
      <c r="T96" s="1144"/>
      <c r="U96" s="1144"/>
      <c r="V96" s="1144"/>
      <c r="W96" s="1144"/>
      <c r="X96" s="1144"/>
      <c r="Y96" s="1144"/>
      <c r="Z96" s="1144"/>
      <c r="AA96" s="1144"/>
      <c r="AB96" s="1144"/>
      <c r="AC96" s="1144"/>
      <c r="AD96" s="1144"/>
      <c r="AE96" s="1144"/>
      <c r="AF96" s="1144"/>
      <c r="AG96" s="1144"/>
      <c r="AH96" s="1144"/>
      <c r="AI96" s="1144"/>
      <c r="AJ96" s="1144"/>
      <c r="AK96" s="1144"/>
      <c r="AL96" s="1144"/>
      <c r="AM96" s="1144"/>
      <c r="AN96" s="1144"/>
      <c r="AO96" s="1144"/>
      <c r="AP96" s="1144"/>
      <c r="AQ96" s="1144"/>
      <c r="AR96" s="1144"/>
      <c r="AS96" s="1144"/>
      <c r="AT96" s="1144"/>
      <c r="AU96" s="1144"/>
      <c r="AV96" s="1144"/>
      <c r="AW96" s="1144"/>
      <c r="AX96" s="1144"/>
      <c r="AY96" s="1145"/>
    </row>
    <row r="97" spans="1:51" x14ac:dyDescent="0.35">
      <c r="A97" s="1140" t="s">
        <v>3650</v>
      </c>
      <c r="B97" s="1141"/>
      <c r="C97" s="1141"/>
      <c r="D97" s="1141"/>
      <c r="E97" s="1141"/>
      <c r="F97" s="1141"/>
      <c r="G97" s="1141"/>
      <c r="H97" s="1141"/>
      <c r="I97" s="1141"/>
      <c r="J97" s="1141"/>
      <c r="K97" s="1141"/>
      <c r="L97" s="1141"/>
      <c r="M97" s="1141"/>
      <c r="N97" s="1141"/>
      <c r="O97" s="1141"/>
      <c r="P97" s="1141"/>
      <c r="Q97" s="1141"/>
      <c r="R97" s="1141"/>
      <c r="S97" s="1141"/>
      <c r="T97" s="1141"/>
      <c r="U97" s="1141"/>
      <c r="V97" s="1141"/>
      <c r="W97" s="1141"/>
      <c r="X97" s="1141"/>
      <c r="Y97" s="1141"/>
      <c r="Z97" s="1141"/>
      <c r="AA97" s="1141"/>
      <c r="AB97" s="1141"/>
      <c r="AC97" s="1141"/>
      <c r="AD97" s="1141"/>
      <c r="AE97" s="1141"/>
      <c r="AF97" s="1141"/>
      <c r="AG97" s="1141"/>
      <c r="AH97" s="1141"/>
      <c r="AI97" s="1141"/>
      <c r="AJ97" s="1141"/>
      <c r="AK97" s="1141"/>
      <c r="AL97" s="1141"/>
      <c r="AM97" s="1141"/>
      <c r="AN97" s="1141"/>
      <c r="AO97" s="1141"/>
      <c r="AP97" s="1141"/>
      <c r="AQ97" s="1141"/>
      <c r="AR97" s="1141"/>
      <c r="AS97" s="1141"/>
      <c r="AT97" s="1141"/>
      <c r="AU97" s="1141"/>
      <c r="AV97" s="1141"/>
      <c r="AW97" s="1141"/>
      <c r="AX97" s="1141"/>
      <c r="AY97" s="1142"/>
    </row>
    <row r="98" spans="1:51" x14ac:dyDescent="0.35">
      <c r="A98" s="1143" t="s">
        <v>3651</v>
      </c>
      <c r="B98" s="1144"/>
      <c r="C98" s="1144"/>
      <c r="D98" s="1144"/>
      <c r="E98" s="1144"/>
      <c r="F98" s="1144"/>
      <c r="G98" s="1144"/>
      <c r="H98" s="1144"/>
      <c r="I98" s="1144"/>
      <c r="J98" s="1144"/>
      <c r="K98" s="1144"/>
      <c r="L98" s="1144"/>
      <c r="M98" s="1144"/>
      <c r="N98" s="1144"/>
      <c r="O98" s="1144"/>
      <c r="P98" s="1144"/>
      <c r="Q98" s="1144"/>
      <c r="R98" s="1144"/>
      <c r="S98" s="1144"/>
      <c r="T98" s="1144"/>
      <c r="U98" s="1144"/>
      <c r="V98" s="1144"/>
      <c r="W98" s="1144"/>
      <c r="X98" s="1144"/>
      <c r="Y98" s="1144"/>
      <c r="Z98" s="1144"/>
      <c r="AA98" s="1144"/>
      <c r="AB98" s="1144"/>
      <c r="AC98" s="1144"/>
      <c r="AD98" s="1144"/>
      <c r="AE98" s="1144"/>
      <c r="AF98" s="1144"/>
      <c r="AG98" s="1144"/>
      <c r="AH98" s="1144"/>
      <c r="AI98" s="1144"/>
      <c r="AJ98" s="1144"/>
      <c r="AK98" s="1144"/>
      <c r="AL98" s="1144"/>
      <c r="AM98" s="1144"/>
      <c r="AN98" s="1144"/>
      <c r="AO98" s="1144"/>
      <c r="AP98" s="1144"/>
      <c r="AQ98" s="1144"/>
      <c r="AR98" s="1144"/>
      <c r="AS98" s="1144"/>
      <c r="AT98" s="1144"/>
      <c r="AU98" s="1144"/>
      <c r="AV98" s="1144"/>
      <c r="AW98" s="1144"/>
      <c r="AX98" s="1144"/>
      <c r="AY98" s="1145"/>
    </row>
    <row r="99" spans="1:51" x14ac:dyDescent="0.35">
      <c r="A99" s="1140" t="s">
        <v>3652</v>
      </c>
      <c r="B99" s="1141"/>
      <c r="C99" s="1141"/>
      <c r="D99" s="1141"/>
      <c r="E99" s="1141"/>
      <c r="F99" s="1141"/>
      <c r="G99" s="1141"/>
      <c r="H99" s="1141"/>
      <c r="I99" s="1141"/>
      <c r="J99" s="1141"/>
      <c r="K99" s="1141"/>
      <c r="L99" s="1141"/>
      <c r="M99" s="1141"/>
      <c r="N99" s="1141"/>
      <c r="O99" s="1141"/>
      <c r="P99" s="1141"/>
      <c r="Q99" s="1141"/>
      <c r="R99" s="1141"/>
      <c r="S99" s="1141"/>
      <c r="T99" s="1141"/>
      <c r="U99" s="1141"/>
      <c r="V99" s="1141"/>
      <c r="W99" s="1141"/>
      <c r="X99" s="1141"/>
      <c r="Y99" s="1141"/>
      <c r="Z99" s="1141"/>
      <c r="AA99" s="1141"/>
      <c r="AB99" s="1141"/>
      <c r="AC99" s="1141"/>
      <c r="AD99" s="1141"/>
      <c r="AE99" s="1141"/>
      <c r="AF99" s="1141"/>
      <c r="AG99" s="1141"/>
      <c r="AH99" s="1141"/>
      <c r="AI99" s="1141"/>
      <c r="AJ99" s="1141"/>
      <c r="AK99" s="1141"/>
      <c r="AL99" s="1141"/>
      <c r="AM99" s="1141"/>
      <c r="AN99" s="1141"/>
      <c r="AO99" s="1141"/>
      <c r="AP99" s="1141"/>
      <c r="AQ99" s="1141"/>
      <c r="AR99" s="1141"/>
      <c r="AS99" s="1141"/>
      <c r="AT99" s="1141"/>
      <c r="AU99" s="1141"/>
      <c r="AV99" s="1141"/>
      <c r="AW99" s="1141"/>
      <c r="AX99" s="1141"/>
      <c r="AY99" s="1142"/>
    </row>
    <row r="100" spans="1:51" x14ac:dyDescent="0.35">
      <c r="A100" s="1143" t="s">
        <v>3653</v>
      </c>
      <c r="B100" s="1144"/>
      <c r="C100" s="1144"/>
      <c r="D100" s="1144"/>
      <c r="E100" s="1144"/>
      <c r="F100" s="1144"/>
      <c r="G100" s="1144"/>
      <c r="H100" s="1144"/>
      <c r="I100" s="1144"/>
      <c r="J100" s="1144"/>
      <c r="K100" s="1144"/>
      <c r="L100" s="1144"/>
      <c r="M100" s="1144"/>
      <c r="N100" s="1144"/>
      <c r="O100" s="1144"/>
      <c r="P100" s="1144"/>
      <c r="Q100" s="1144"/>
      <c r="R100" s="1144"/>
      <c r="S100" s="1144"/>
      <c r="T100" s="1144"/>
      <c r="U100" s="1144"/>
      <c r="V100" s="1144"/>
      <c r="W100" s="1144"/>
      <c r="X100" s="1144"/>
      <c r="Y100" s="1144"/>
      <c r="Z100" s="1144"/>
      <c r="AA100" s="1144"/>
      <c r="AB100" s="1144"/>
      <c r="AC100" s="1144"/>
      <c r="AD100" s="1144"/>
      <c r="AE100" s="1144"/>
      <c r="AF100" s="1144"/>
      <c r="AG100" s="1144"/>
      <c r="AH100" s="1144"/>
      <c r="AI100" s="1144"/>
      <c r="AJ100" s="1144"/>
      <c r="AK100" s="1144"/>
      <c r="AL100" s="1144"/>
      <c r="AM100" s="1144"/>
      <c r="AN100" s="1144"/>
      <c r="AO100" s="1144"/>
      <c r="AP100" s="1144"/>
      <c r="AQ100" s="1144"/>
      <c r="AR100" s="1144"/>
      <c r="AS100" s="1144"/>
      <c r="AT100" s="1144"/>
      <c r="AU100" s="1144"/>
      <c r="AV100" s="1144"/>
      <c r="AW100" s="1144"/>
      <c r="AX100" s="1144"/>
      <c r="AY100" s="1145"/>
    </row>
    <row r="101" spans="1:51" x14ac:dyDescent="0.35">
      <c r="A101" s="1140" t="s">
        <v>3654</v>
      </c>
      <c r="B101" s="1141"/>
      <c r="C101" s="1141"/>
      <c r="D101" s="1141"/>
      <c r="E101" s="1141"/>
      <c r="F101" s="1141"/>
      <c r="G101" s="1141"/>
      <c r="H101" s="1141"/>
      <c r="I101" s="1141"/>
      <c r="J101" s="1141"/>
      <c r="K101" s="1141"/>
      <c r="L101" s="1141"/>
      <c r="M101" s="1141"/>
      <c r="N101" s="1141"/>
      <c r="O101" s="1141"/>
      <c r="P101" s="1141"/>
      <c r="Q101" s="1141"/>
      <c r="R101" s="1141"/>
      <c r="S101" s="1141"/>
      <c r="T101" s="1141"/>
      <c r="U101" s="1141"/>
      <c r="V101" s="1141"/>
      <c r="W101" s="1141"/>
      <c r="X101" s="1141"/>
      <c r="Y101" s="1141"/>
      <c r="Z101" s="1141"/>
      <c r="AA101" s="1141"/>
      <c r="AB101" s="1141"/>
      <c r="AC101" s="1141"/>
      <c r="AD101" s="1141"/>
      <c r="AE101" s="1141"/>
      <c r="AF101" s="1141"/>
      <c r="AG101" s="1141"/>
      <c r="AH101" s="1141"/>
      <c r="AI101" s="1141"/>
      <c r="AJ101" s="1141"/>
      <c r="AK101" s="1141"/>
      <c r="AL101" s="1141"/>
      <c r="AM101" s="1141"/>
      <c r="AN101" s="1141"/>
      <c r="AO101" s="1141"/>
      <c r="AP101" s="1141"/>
      <c r="AQ101" s="1141"/>
      <c r="AR101" s="1141"/>
      <c r="AS101" s="1141"/>
      <c r="AT101" s="1141"/>
      <c r="AU101" s="1141"/>
      <c r="AV101" s="1141"/>
      <c r="AW101" s="1141"/>
      <c r="AX101" s="1141"/>
      <c r="AY101" s="1142"/>
    </row>
    <row r="102" spans="1:51" x14ac:dyDescent="0.35">
      <c r="A102" s="1143" t="s">
        <v>3655</v>
      </c>
      <c r="B102" s="1144"/>
      <c r="C102" s="1144"/>
      <c r="D102" s="1144"/>
      <c r="E102" s="1144"/>
      <c r="F102" s="1144"/>
      <c r="G102" s="1144"/>
      <c r="H102" s="1144"/>
      <c r="I102" s="1144"/>
      <c r="J102" s="1144"/>
      <c r="K102" s="1144"/>
      <c r="L102" s="1144"/>
      <c r="M102" s="1144"/>
      <c r="N102" s="1144"/>
      <c r="O102" s="1144"/>
      <c r="P102" s="1144"/>
      <c r="Q102" s="1144"/>
      <c r="R102" s="1144"/>
      <c r="S102" s="1144"/>
      <c r="T102" s="1144"/>
      <c r="U102" s="1144"/>
      <c r="V102" s="1144"/>
      <c r="W102" s="1144"/>
      <c r="X102" s="1144"/>
      <c r="Y102" s="1144"/>
      <c r="Z102" s="1144"/>
      <c r="AA102" s="1144"/>
      <c r="AB102" s="1144"/>
      <c r="AC102" s="1144"/>
      <c r="AD102" s="1144"/>
      <c r="AE102" s="1144"/>
      <c r="AF102" s="1144"/>
      <c r="AG102" s="1144"/>
      <c r="AH102" s="1144"/>
      <c r="AI102" s="1144"/>
      <c r="AJ102" s="1144"/>
      <c r="AK102" s="1144"/>
      <c r="AL102" s="1144"/>
      <c r="AM102" s="1144"/>
      <c r="AN102" s="1144"/>
      <c r="AO102" s="1144"/>
      <c r="AP102" s="1144"/>
      <c r="AQ102" s="1144"/>
      <c r="AR102" s="1144"/>
      <c r="AS102" s="1144"/>
      <c r="AT102" s="1144"/>
      <c r="AU102" s="1144"/>
      <c r="AV102" s="1144"/>
      <c r="AW102" s="1144"/>
      <c r="AX102" s="1144"/>
      <c r="AY102" s="1145"/>
    </row>
    <row r="103" spans="1:51" x14ac:dyDescent="0.35">
      <c r="A103" s="1140" t="s">
        <v>3656</v>
      </c>
      <c r="B103" s="1141"/>
      <c r="C103" s="1141"/>
      <c r="D103" s="1141"/>
      <c r="E103" s="1141"/>
      <c r="F103" s="1141"/>
      <c r="G103" s="1141"/>
      <c r="H103" s="1141"/>
      <c r="I103" s="1141"/>
      <c r="J103" s="1141"/>
      <c r="K103" s="1141"/>
      <c r="L103" s="1141"/>
      <c r="M103" s="1141"/>
      <c r="N103" s="1141"/>
      <c r="O103" s="1141"/>
      <c r="P103" s="1141"/>
      <c r="Q103" s="1141"/>
      <c r="R103" s="1141"/>
      <c r="S103" s="1141"/>
      <c r="T103" s="1141"/>
      <c r="U103" s="1141"/>
      <c r="V103" s="1141"/>
      <c r="W103" s="1141"/>
      <c r="X103" s="1141"/>
      <c r="Y103" s="1141"/>
      <c r="Z103" s="1141"/>
      <c r="AA103" s="1141"/>
      <c r="AB103" s="1141"/>
      <c r="AC103" s="1141"/>
      <c r="AD103" s="1141"/>
      <c r="AE103" s="1141"/>
      <c r="AF103" s="1141"/>
      <c r="AG103" s="1141"/>
      <c r="AH103" s="1141"/>
      <c r="AI103" s="1141"/>
      <c r="AJ103" s="1141"/>
      <c r="AK103" s="1141"/>
      <c r="AL103" s="1141"/>
      <c r="AM103" s="1141"/>
      <c r="AN103" s="1141"/>
      <c r="AO103" s="1141"/>
      <c r="AP103" s="1141"/>
      <c r="AQ103" s="1141"/>
      <c r="AR103" s="1141"/>
      <c r="AS103" s="1141"/>
      <c r="AT103" s="1141"/>
      <c r="AU103" s="1141"/>
      <c r="AV103" s="1141"/>
      <c r="AW103" s="1141"/>
      <c r="AX103" s="1141"/>
      <c r="AY103" s="1142"/>
    </row>
    <row r="104" spans="1:51" x14ac:dyDescent="0.35">
      <c r="A104" s="1143" t="s">
        <v>3657</v>
      </c>
      <c r="B104" s="1144"/>
      <c r="C104" s="1144"/>
      <c r="D104" s="1144"/>
      <c r="E104" s="1144"/>
      <c r="F104" s="1144"/>
      <c r="G104" s="1144"/>
      <c r="H104" s="1144"/>
      <c r="I104" s="1144"/>
      <c r="J104" s="1144"/>
      <c r="K104" s="1144"/>
      <c r="L104" s="1144"/>
      <c r="M104" s="1144"/>
      <c r="N104" s="1144"/>
      <c r="O104" s="1144"/>
      <c r="P104" s="1144"/>
      <c r="Q104" s="1144"/>
      <c r="R104" s="1144"/>
      <c r="S104" s="1144"/>
      <c r="T104" s="1144"/>
      <c r="U104" s="1144"/>
      <c r="V104" s="1144"/>
      <c r="W104" s="1144"/>
      <c r="X104" s="1144"/>
      <c r="Y104" s="1144"/>
      <c r="Z104" s="1144"/>
      <c r="AA104" s="1144"/>
      <c r="AB104" s="1144"/>
      <c r="AC104" s="1144"/>
      <c r="AD104" s="1144"/>
      <c r="AE104" s="1144"/>
      <c r="AF104" s="1144"/>
      <c r="AG104" s="1144"/>
      <c r="AH104" s="1144"/>
      <c r="AI104" s="1144"/>
      <c r="AJ104" s="1144"/>
      <c r="AK104" s="1144"/>
      <c r="AL104" s="1144"/>
      <c r="AM104" s="1144"/>
      <c r="AN104" s="1144"/>
      <c r="AO104" s="1144"/>
      <c r="AP104" s="1144"/>
      <c r="AQ104" s="1144"/>
      <c r="AR104" s="1144"/>
      <c r="AS104" s="1144"/>
      <c r="AT104" s="1144"/>
      <c r="AU104" s="1144"/>
      <c r="AV104" s="1144"/>
      <c r="AW104" s="1144"/>
      <c r="AX104" s="1144"/>
      <c r="AY104" s="1145"/>
    </row>
    <row r="105" spans="1:51" x14ac:dyDescent="0.35">
      <c r="A105" s="1140" t="s">
        <v>3658</v>
      </c>
      <c r="B105" s="1141"/>
      <c r="C105" s="1141"/>
      <c r="D105" s="1141"/>
      <c r="E105" s="1141"/>
      <c r="F105" s="1141"/>
      <c r="G105" s="1141"/>
      <c r="H105" s="1141"/>
      <c r="I105" s="1141"/>
      <c r="J105" s="1141"/>
      <c r="K105" s="1141"/>
      <c r="L105" s="1141"/>
      <c r="M105" s="1141"/>
      <c r="N105" s="1141"/>
      <c r="O105" s="1141"/>
      <c r="P105" s="1141"/>
      <c r="Q105" s="1141"/>
      <c r="R105" s="1141"/>
      <c r="S105" s="1141"/>
      <c r="T105" s="1141"/>
      <c r="U105" s="1141"/>
      <c r="V105" s="1141"/>
      <c r="W105" s="1141"/>
      <c r="X105" s="1141"/>
      <c r="Y105" s="1141"/>
      <c r="Z105" s="1141"/>
      <c r="AA105" s="1141"/>
      <c r="AB105" s="1141"/>
      <c r="AC105" s="1141"/>
      <c r="AD105" s="1141"/>
      <c r="AE105" s="1141"/>
      <c r="AF105" s="1141"/>
      <c r="AG105" s="1141"/>
      <c r="AH105" s="1141"/>
      <c r="AI105" s="1141"/>
      <c r="AJ105" s="1141"/>
      <c r="AK105" s="1141"/>
      <c r="AL105" s="1141"/>
      <c r="AM105" s="1141"/>
      <c r="AN105" s="1141"/>
      <c r="AO105" s="1141"/>
      <c r="AP105" s="1141"/>
      <c r="AQ105" s="1141"/>
      <c r="AR105" s="1141"/>
      <c r="AS105" s="1141"/>
      <c r="AT105" s="1141"/>
      <c r="AU105" s="1141"/>
      <c r="AV105" s="1141"/>
      <c r="AW105" s="1141"/>
      <c r="AX105" s="1141"/>
      <c r="AY105" s="1142"/>
    </row>
    <row r="106" spans="1:51" x14ac:dyDescent="0.35">
      <c r="A106" s="1143" t="s">
        <v>3659</v>
      </c>
      <c r="B106" s="1144"/>
      <c r="C106" s="1144"/>
      <c r="D106" s="1144"/>
      <c r="E106" s="1144"/>
      <c r="F106" s="1144"/>
      <c r="G106" s="1144"/>
      <c r="H106" s="1144"/>
      <c r="I106" s="1144"/>
      <c r="J106" s="1144"/>
      <c r="K106" s="1144"/>
      <c r="L106" s="1144"/>
      <c r="M106" s="1144"/>
      <c r="N106" s="1144"/>
      <c r="O106" s="1144"/>
      <c r="P106" s="1144"/>
      <c r="Q106" s="1144"/>
      <c r="R106" s="1144"/>
      <c r="S106" s="1144"/>
      <c r="T106" s="1144"/>
      <c r="U106" s="1144"/>
      <c r="V106" s="1144"/>
      <c r="W106" s="1144"/>
      <c r="X106" s="1144"/>
      <c r="Y106" s="1144"/>
      <c r="Z106" s="1144"/>
      <c r="AA106" s="1144"/>
      <c r="AB106" s="1144"/>
      <c r="AC106" s="1144"/>
      <c r="AD106" s="1144"/>
      <c r="AE106" s="1144"/>
      <c r="AF106" s="1144"/>
      <c r="AG106" s="1144"/>
      <c r="AH106" s="1144"/>
      <c r="AI106" s="1144"/>
      <c r="AJ106" s="1144"/>
      <c r="AK106" s="1144"/>
      <c r="AL106" s="1144"/>
      <c r="AM106" s="1144"/>
      <c r="AN106" s="1144"/>
      <c r="AO106" s="1144"/>
      <c r="AP106" s="1144"/>
      <c r="AQ106" s="1144"/>
      <c r="AR106" s="1144"/>
      <c r="AS106" s="1144"/>
      <c r="AT106" s="1144"/>
      <c r="AU106" s="1144"/>
      <c r="AV106" s="1144"/>
      <c r="AW106" s="1144"/>
      <c r="AX106" s="1144"/>
      <c r="AY106" s="1145"/>
    </row>
    <row r="107" spans="1:51" x14ac:dyDescent="0.35">
      <c r="A107" s="1146" t="s">
        <v>3660</v>
      </c>
      <c r="B107" s="1147"/>
      <c r="C107" s="1147"/>
      <c r="D107" s="1147"/>
      <c r="E107" s="1147"/>
      <c r="F107" s="1147"/>
      <c r="G107" s="1147"/>
      <c r="H107" s="1147"/>
      <c r="I107" s="1147"/>
      <c r="J107" s="1147"/>
      <c r="K107" s="1147"/>
      <c r="L107" s="1147"/>
      <c r="M107" s="1147"/>
      <c r="N107" s="1147"/>
      <c r="O107" s="1147"/>
      <c r="P107" s="1147"/>
      <c r="Q107" s="1147"/>
      <c r="R107" s="1147"/>
      <c r="S107" s="1147"/>
      <c r="T107" s="1147"/>
      <c r="U107" s="1147"/>
      <c r="V107" s="1147"/>
      <c r="W107" s="1147"/>
      <c r="X107" s="1147"/>
      <c r="Y107" s="1147"/>
      <c r="Z107" s="1147"/>
      <c r="AA107" s="1147"/>
      <c r="AB107" s="1147"/>
      <c r="AC107" s="1147"/>
      <c r="AD107" s="1147"/>
      <c r="AE107" s="1147"/>
      <c r="AF107" s="1147"/>
      <c r="AG107" s="1147"/>
      <c r="AH107" s="1147"/>
      <c r="AI107" s="1147"/>
      <c r="AJ107" s="1147"/>
      <c r="AK107" s="1147"/>
      <c r="AL107" s="1147"/>
      <c r="AM107" s="1147"/>
      <c r="AN107" s="1147"/>
      <c r="AO107" s="1147"/>
      <c r="AP107" s="1147"/>
      <c r="AQ107" s="1147"/>
      <c r="AR107" s="1147"/>
      <c r="AS107" s="1147"/>
      <c r="AT107" s="1147"/>
      <c r="AU107" s="1147"/>
      <c r="AV107" s="1147"/>
      <c r="AW107" s="1147"/>
      <c r="AX107" s="1147"/>
      <c r="AY107" s="1148"/>
    </row>
    <row r="108" spans="1:51" ht="15" thickBot="1" x14ac:dyDescent="0.4">
      <c r="A108" s="1149" t="s">
        <v>3661</v>
      </c>
      <c r="B108" s="1150"/>
      <c r="C108" s="1150"/>
      <c r="D108" s="1150"/>
      <c r="E108" s="1150"/>
      <c r="F108" s="1150"/>
      <c r="G108" s="1150"/>
      <c r="H108" s="1150"/>
      <c r="I108" s="1150"/>
      <c r="J108" s="1150"/>
      <c r="K108" s="1150"/>
      <c r="L108" s="1150"/>
      <c r="M108" s="1150"/>
      <c r="N108" s="1150"/>
      <c r="O108" s="1150"/>
      <c r="P108" s="1150"/>
      <c r="Q108" s="1150"/>
      <c r="R108" s="1150"/>
      <c r="S108" s="1150"/>
      <c r="T108" s="1150"/>
      <c r="U108" s="1150"/>
      <c r="V108" s="1150"/>
      <c r="W108" s="1150"/>
      <c r="X108" s="1150"/>
      <c r="Y108" s="1150"/>
      <c r="Z108" s="1150"/>
      <c r="AA108" s="1150"/>
      <c r="AB108" s="1150"/>
      <c r="AC108" s="1150"/>
      <c r="AD108" s="1150"/>
      <c r="AE108" s="1150"/>
      <c r="AF108" s="1150"/>
      <c r="AG108" s="1150"/>
      <c r="AH108" s="1150"/>
      <c r="AI108" s="1150"/>
      <c r="AJ108" s="1150"/>
      <c r="AK108" s="1150"/>
      <c r="AL108" s="1150"/>
      <c r="AM108" s="1150"/>
      <c r="AN108" s="1150"/>
      <c r="AO108" s="1150"/>
      <c r="AP108" s="1150"/>
      <c r="AQ108" s="1150"/>
      <c r="AR108" s="1150"/>
      <c r="AS108" s="1150"/>
      <c r="AT108" s="1150"/>
      <c r="AU108" s="1150"/>
      <c r="AV108" s="1150"/>
      <c r="AW108" s="1150"/>
      <c r="AX108" s="1150"/>
      <c r="AY108" s="1151"/>
    </row>
  </sheetData>
  <sheetProtection algorithmName="SHA-512" hashValue="BVa9LFyYtXd53njOaz/jMRbJu6IuptMl1mFZBhs7/MJmF0rCMe5TtEW/WHvLaLK4ovYBJoBM/pRtHSPoWycrqQ==" saltValue="HozNlpa65d8KXueSRmErYQ==" spinCount="100000" sheet="1" objects="1" scenarios="1" formatColumns="0" formatRows="0" insertRows="0"/>
  <mergeCells count="46">
    <mergeCell ref="A78:AY78"/>
    <mergeCell ref="A77:AY77"/>
    <mergeCell ref="A76:AY76"/>
    <mergeCell ref="A69:AY69"/>
    <mergeCell ref="A70:AY70"/>
    <mergeCell ref="A71:AY71"/>
    <mergeCell ref="A74:AY74"/>
    <mergeCell ref="A75:AY75"/>
    <mergeCell ref="A72:AY72"/>
    <mergeCell ref="A73:AY73"/>
    <mergeCell ref="A83:AY83"/>
    <mergeCell ref="A82:AY82"/>
    <mergeCell ref="A81:AY81"/>
    <mergeCell ref="A80:AY80"/>
    <mergeCell ref="A79:AY79"/>
    <mergeCell ref="A67:AY67"/>
    <mergeCell ref="A68:AY68"/>
    <mergeCell ref="A65:AY65"/>
    <mergeCell ref="A66:AY66"/>
    <mergeCell ref="A62:AY62"/>
    <mergeCell ref="A63:AY63"/>
    <mergeCell ref="A64:AY64"/>
    <mergeCell ref="A85:AY85"/>
    <mergeCell ref="A86:AY86"/>
    <mergeCell ref="A87:AY87"/>
    <mergeCell ref="A88:AY88"/>
    <mergeCell ref="A89:AY89"/>
    <mergeCell ref="A90:AY90"/>
    <mergeCell ref="A91:AY91"/>
    <mergeCell ref="A92:AY92"/>
    <mergeCell ref="A93:AY93"/>
    <mergeCell ref="A94:AY94"/>
    <mergeCell ref="A95:AY95"/>
    <mergeCell ref="A96:AY96"/>
    <mergeCell ref="A97:AY97"/>
    <mergeCell ref="A98:AY98"/>
    <mergeCell ref="A99:AY99"/>
    <mergeCell ref="A105:AY105"/>
    <mergeCell ref="A106:AY106"/>
    <mergeCell ref="A107:AY107"/>
    <mergeCell ref="A108:AY108"/>
    <mergeCell ref="A100:AY100"/>
    <mergeCell ref="A101:AY101"/>
    <mergeCell ref="A102:AY102"/>
    <mergeCell ref="A103:AY103"/>
    <mergeCell ref="A104:AY104"/>
  </mergeCells>
  <conditionalFormatting sqref="A52:A65">
    <cfRule type="expression" dxfId="129" priority="4">
      <formula>OR($B$8="Liquid", $B$8="Gas")</formula>
    </cfRule>
  </conditionalFormatting>
  <conditionalFormatting sqref="B52:F61">
    <cfRule type="expression" dxfId="128" priority="1">
      <formula>OR($B$8="Liquid", $B$8="Gas")</formula>
    </cfRule>
  </conditionalFormatting>
  <dataValidations count="10">
    <dataValidation type="decimal" operator="equal" allowBlank="1" showInputMessage="1" showErrorMessage="1" sqref="D40:D61 C2:C61 E12:E61 D2:D5 E2:E10 D7:D30 D33:D38" xr:uid="{B9E72725-B615-4B6F-B4D3-FFF75C2E5FEF}">
      <formula1>C2</formula1>
    </dataValidation>
    <dataValidation type="decimal" operator="equal" allowBlank="1" showInputMessage="1" showErrorMessage="1" prompt="Typical Density values range from 1,01 to 1,06. The typical value in the table is the average of this range" sqref="D6" xr:uid="{ACFC4CD2-A7DA-47FC-B178-2418F01E07E6}">
      <formula1>D6</formula1>
    </dataValidation>
    <dataValidation type="decimal" operator="equal" allowBlank="1" showInputMessage="1" showErrorMessage="1" prompt="Typical Density values range from 0,45 to 0,50. The typical value in the table is the average of this range" sqref="E11" xr:uid="{49A4215D-0EF9-4AD1-81EB-37EF897009E4}">
      <formula1>E11</formula1>
    </dataValidation>
    <dataValidation type="decimal" operator="equal" allowBlank="1" showInputMessage="1" showErrorMessage="1" prompt="Typical Density values range from 0,70 to 0,95. The typical value in the table is the average of this range" sqref="D39" xr:uid="{0F40A6B8-43E4-4E29-9352-F9E90B5B64BA}">
      <formula1>D39</formula1>
    </dataValidation>
    <dataValidation type="list" allowBlank="1" showInputMessage="1" showErrorMessage="1" sqref="B2:B61" xr:uid="{72EA90A7-FFB4-470E-AE11-EB23E10FD893}">
      <formula1>enum_ListStateOfMatter</formula1>
    </dataValidation>
    <dataValidation type="list" allowBlank="1" showInputMessage="1" showErrorMessage="1" sqref="F2:F61" xr:uid="{3AEA70C2-6B8A-4014-8796-BB574CA63202}">
      <formula1>enum_ListRenewabilityState</formula1>
    </dataValidation>
    <dataValidation allowBlank="1" showInputMessage="1" showErrorMessage="1" prompt="Distillates: distillate oil, distllate fuel oil No.1, distllate fuel No.2 and distllate fuel No.4" sqref="A13" xr:uid="{521E20DF-4831-42D5-BFB8-EDD263C2D345}"/>
    <dataValidation allowBlank="1" showInputMessage="1" showErrorMessage="1" prompt="Isomers: isobutane and n-butane" sqref="A9" xr:uid="{61769D3C-8375-4DF6-9D6F-B30B72A1112B}"/>
    <dataValidation type="decimal" operator="equal" allowBlank="1" showInputMessage="1" showErrorMessage="1" prompt="Typical Density values range from 0,90 to 1,00. The typical value in the table is the average of this range" sqref="D31" xr:uid="{822C9C6C-3878-4818-AF32-BF2496F18992}">
      <formula1>D31</formula1>
    </dataValidation>
    <dataValidation type="decimal" operator="equal" allowBlank="1" showInputMessage="1" showErrorMessage="1" prompt="Typical Density values range from 1,00 to 1,26. The typical value in the table is the average of this range" sqref="D32" xr:uid="{A6BA9200-7D6D-4B93-9104-B0AF279C0588}">
      <formula1>D32</formula1>
    </dataValidation>
  </dataValidations>
  <hyperlinks>
    <hyperlink ref="A64:AY64" r:id="rId1" display="Available at: https://cdn.cdp.net/cdp-production/cms/guidance_docs/pdfs/000/000/477/original/CDP-Conversion-of-fuel-data-to-MWh.pdf?1479755175." xr:uid="{27FF9CB9-20A9-4A71-B1A1-063338601118}"/>
    <hyperlink ref="A67:AY67" r:id="rId2" display="available at: https://www.engineeringtoolbox.com/gasoline-density-specific-heat-dynamic-kinematic-viscosity-thermal-conductivity-vs-temperature-d_2224.html;" xr:uid="{DC963CA6-F723-4803-82F0-AFCB2ACA3C5D}"/>
    <hyperlink ref="A69:AY69" r:id="rId3" display="available at: https://atdmco.com/wiki-density-of-bitumen/;" xr:uid="{A23B6A95-8C61-41B0-8BBB-0478B875DCAA}"/>
    <hyperlink ref="A71" r:id="rId4" display="https://engineeringtoolbox.com/gas-density-d_158.html" xr:uid="{65209AF9-0551-4757-A1CA-8A4D1E0BB2D9}"/>
    <hyperlink ref="A73:AY73" r:id="rId5" display="avalable at: https://www.energuide.be/en/questions-answers/what-is-the-calorific-value-of-gas/9655/;" xr:uid="{5252A750-7A22-49F3-84CD-A9AB51C7B5C5}"/>
    <hyperlink ref="A75:AY75" r:id="rId6" display="available at: http://cyyenergy.com/en/Products/info_itemid_138.html;" xr:uid="{3D00E0B0-6C86-4B8F-801B-DD7B026CCC4C}"/>
    <hyperlink ref="A77:AY77" r:id="rId7" display="available at: https://op.europa.eu/en/publication-detail/-/publication/eaa047e8-644c-4149-bdcb-9dde79c64a12;" xr:uid="{84B89A79-4096-42BC-83DC-D6C99B415AA0}"/>
    <hyperlink ref="A78:AY78" r:id="rId8" display="https://www.bhel.com/sites/default/files/gas-properties-cog-1580716150.pdf" xr:uid="{1F106847-6153-4553-822D-3022773EB508}"/>
    <hyperlink ref="A80:AY80" r:id="rId9" display="available at: https://www.engineeringtoolbox.com/fuels-densities-specific-volumes-d_166.html;" xr:uid="{41D06FEC-5DAB-42F3-9929-25E74C8DA06C}"/>
    <hyperlink ref="A81" r:id="rId10" display="https://www.exxonmobil.com/en-bd/commercial-fuel/pds/gl-xx-jetfuel-series" xr:uid="{D656D139-C6D3-4BEC-8575-826FB2FBC89E}"/>
    <hyperlink ref="A83" r:id="rId11" location=":~:text=Commission%20Implementing%20Regulation%20(EU)%202018,(Text%20with%20EEA%20relevance.)" display="https://eur-lex.europa.eu/eli/reg_impl/2018/2066/oj/eng#:~:text=Commission%20Implementing%20Regulation%20(EU)%202018,(Text%20with%20EEA%20relevance.)" xr:uid="{1ED24B18-7FCB-4700-88CC-AAE69489AAC4}"/>
    <hyperlink ref="A86" r:id="rId12" display="https://www.researchgate.net/figure/Density-and-viscosity-of-shale-oil-in-Lucaogou-Formation-Jimsar-Sag_tbl1_336793871" xr:uid="{4637798D-6A05-4A1F-9F1D-FF57A037655D}"/>
    <hyperlink ref="A85" r:id="rId13" display="https://osf.io/s2qbt" xr:uid="{C86B1DF4-B636-4B95-9606-73CB895B78CF}"/>
    <hyperlink ref="A88" r:id="rId14" display="https://archive.epa.gov/emergencies/content/fss/web/pdf/orimuls.pdf" xr:uid="{4DF1924C-E295-46EB-BF49-A63F606125E0}"/>
    <hyperlink ref="A90" r:id="rId15" display="https://op.europa.eu/en/publication-detail/-/publication/eaa047e8-644c-4149-bdcb-9dde79c64a12" xr:uid="{9C54F48E-029C-4831-BAD5-B1AB08C9CEC9}"/>
    <hyperlink ref="A92" r:id="rId16" display="https://www.engineeringtoolbox.com/propane-C3H8-density-specific-weight-temperature-pressure-d_2033.html?vA=15&amp;degree" xr:uid="{6E30AE6A-F48F-482E-A161-54BEAF35FA4E}"/>
    <hyperlink ref="A94" r:id="rId17" display="https://eippcb.jrc.ec.europa.eu/sites/default/files/2020-03/superseded_ref_bref-0203.pdf" xr:uid="{A5C6181E-A3EE-4AE8-A412-196F41B36801}"/>
    <hyperlink ref="A96" r:id="rId18" display="http://www.ipcc-nggip.iges.or.jp/efdb/find_ef_ft.php" xr:uid="{AB4A9A02-50A6-492C-88FE-B739DEBB067D}"/>
    <hyperlink ref="A98" r:id="rId19" display="https://captainslog.gr/wp-content/uploads/2020/12/Sulphite-Lye-Cafn.pdf" xr:uid="{A8C41CAF-FB76-4A97-A3BF-20CB7E930F17}"/>
    <hyperlink ref="A100" r:id="rId20" display="https://iopscience.iop.org/article/10.1088/1757-899X/912/4/042075" xr:uid="{C8BD2AD6-3C40-4BE2-935D-7B67472A58DE}"/>
    <hyperlink ref="A102" r:id="rId21" display="https://www.engineeringtoolbox.com/fuels-higher-calorific-values-d_169.html" xr:uid="{C997A482-C9A4-48D6-873C-24831ABC3379}"/>
    <hyperlink ref="A104" r:id="rId22" display="https://ehs.cranesville.com/msds.pdfs/MSDS(U003).pdf" xr:uid="{DE395B1D-CB0A-4D92-8553-CC02992F8176}"/>
    <hyperlink ref="A106" r:id="rId23" display="https://www.mdpi.com/2673-5628/5/1/6;" xr:uid="{F4192789-20AE-44F4-976E-1B6EF793EB8A}"/>
    <hyperlink ref="A108" r:id="rId24" display="https://www.shell.com/business-customers/chemicals/our-products/solvents-hydrocarbon/special-boiling-point-solvents/sbp-140-165.html." xr:uid="{F5D06771-81E7-4BBC-83EA-A9B7730857A6}"/>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AF9C0-0E26-4EF2-94F7-834DCDFA296C}">
  <sheetPr codeName="Sheet8"/>
  <dimension ref="A1:AK138"/>
  <sheetViews>
    <sheetView zoomScaleNormal="100" workbookViewId="0">
      <selection sqref="A1:C1"/>
    </sheetView>
  </sheetViews>
  <sheetFormatPr defaultColWidth="8.90625" defaultRowHeight="14.5" x14ac:dyDescent="0.35"/>
  <cols>
    <col min="2" max="2" width="19.453125" bestFit="1" customWidth="1"/>
    <col min="3" max="3" width="10.54296875" customWidth="1"/>
    <col min="4" max="4" width="43" customWidth="1"/>
    <col min="5" max="6" width="8.6328125" style="10"/>
    <col min="7" max="7" width="115.6328125" style="10" customWidth="1"/>
    <col min="8" max="37" width="8.6328125" style="10"/>
  </cols>
  <sheetData>
    <row r="1" spans="1:7" s="10" customFormat="1" ht="15.5" thickTop="1" thickBot="1" x14ac:dyDescent="0.4">
      <c r="A1" s="1187" t="str">
        <f>template_label_unit_of_measurement_converter</f>
        <v>UNIT OF MEASUREMENT CONVERTER</v>
      </c>
      <c r="B1" s="1188"/>
      <c r="C1" s="1189"/>
    </row>
    <row r="2" spans="1:7" s="10" customFormat="1" ht="15" thickTop="1" x14ac:dyDescent="0.35">
      <c r="A2" s="18"/>
      <c r="B2" s="18"/>
      <c r="C2" s="18"/>
    </row>
    <row r="3" spans="1:7" ht="15" thickBot="1" x14ac:dyDescent="0.4">
      <c r="A3" s="10"/>
      <c r="B3" s="10"/>
      <c r="C3" s="10"/>
      <c r="D3" s="10"/>
    </row>
    <row r="4" spans="1:7" ht="15" thickBot="1" x14ac:dyDescent="0.4">
      <c r="A4" s="1184" t="str">
        <f>template_label_unit_of_measurement_of_mass_converter</f>
        <v>Unit of measurement of Mass Converter</v>
      </c>
      <c r="B4" s="1185"/>
      <c r="C4" s="1185"/>
      <c r="D4" s="1185"/>
      <c r="E4" s="50"/>
      <c r="G4" s="459" t="str">
        <f>template_label_usage_of_unit_of_measurement_converter</f>
        <v>Usage of Unit of Measurement Converter</v>
      </c>
    </row>
    <row r="5" spans="1:7" ht="15" thickBot="1" x14ac:dyDescent="0.4">
      <c r="A5" s="43" t="str">
        <f>template_label_from_capital_case</f>
        <v xml:space="preserve">From </v>
      </c>
      <c r="B5" s="176"/>
      <c r="C5" s="44" t="str">
        <f>template_label_to</f>
        <v>to</v>
      </c>
      <c r="D5" s="176"/>
      <c r="G5" s="400" t="str">
        <f>template_label_steps_to_follow_for_the_mass_table</f>
        <v>Steps to follow for the Mass table:</v>
      </c>
    </row>
    <row r="6" spans="1:7" ht="15" thickBot="1" x14ac:dyDescent="0.4">
      <c r="A6" s="10"/>
      <c r="B6" s="191"/>
      <c r="C6" s="10"/>
      <c r="D6" s="21" t="str">
        <f>IF(OR(B5="",B6="",D5=""),"-",
IF(AND(B5="g - gram",D5="g - gram"),B6*1,
IF(AND(B5="g - gram",D5="Kg - Kilogram"),B6*0.001,
IF(AND(B5="g - gram",D5="t - tonne"),B6*0.000001,
IF(AND(B5="g - gram",D5="Gg - Gigagram"),B6*0.000000001,
IF(AND(B5="Kg - Kilogram",D5="g - gram"),B6*1000,
IF(AND(B5="Kg - Kilogram",D5="Kg - Kilogram"),B6*1,
IF(AND(B5="Kg - Kilogram",D5="t - tonne"),B6*0.001,
IF(AND(B5="Kg - Kilogram",D5="Gg - Gigagram"),B6*0.000001,
IF(AND(B5="t - tonne",D5="g - gram"),B6*1000000,
IF(AND(B5="t - tonne",D5="Kg - Kilogram"),B6*1000,
IF(AND(B5="t - tonne",D5="t - tonne"),B6*1,
IF(AND(B5="t - tonne",D5="Gg - Gigagram"),B6*0.001,
IF(AND(B5="Gg - Gigagram",D5="g - gram"),B6*1000000000,
IF(AND(B5="Gg - Gigagram",D5="Kg - Kilogram"),B6*1000000,
IF(AND(B5="Gg - Gigagram",D5="t - tonne"),B6*1000,
IF(AND(B5="Gg - Gigagram",D5="Gg - Gigagram"),B6*1,
"")))))))))))))))))</f>
        <v>-</v>
      </c>
      <c r="G6" s="458" t="str">
        <f>template_label_1_in_the_cell_b5_of_the_table_related_to_the_unit_of_measurement_of_mass_converter</f>
        <v>1. In the cell B5 of the table related to the Unit of measurement of Mass Converter should be inserted the Unit of measurement to convert.</v>
      </c>
    </row>
    <row r="7" spans="1:7" s="10" customFormat="1" ht="15" thickBot="1" x14ac:dyDescent="0.4">
      <c r="G7" s="458" t="str">
        <f>template_label_2_then_in_the_cell_b6_the_amount_of_mass_can_be_inserted</f>
        <v>2. Then in the cell B6 the amount of mass can be inserted.</v>
      </c>
    </row>
    <row r="8" spans="1:7" s="10" customFormat="1" ht="15" thickBot="1" x14ac:dyDescent="0.4">
      <c r="A8" s="1184" t="str">
        <f>template_label_unit_of_measurement_of_volume_converter</f>
        <v>Unit of measurement of Volume Converter</v>
      </c>
      <c r="B8" s="1185"/>
      <c r="C8" s="1185"/>
      <c r="D8" s="1186"/>
      <c r="G8" s="458" t="str">
        <f>template_label_3_finally_in_the_cell_d5_there_should_be_the_unit_of_measurement_of_interest</f>
        <v>3. Finally in the cell D5 there should be the unit of measurement of interest.</v>
      </c>
    </row>
    <row r="9" spans="1:7" s="10" customFormat="1" ht="15" thickBot="1" x14ac:dyDescent="0.4">
      <c r="A9" s="43" t="str">
        <f>template_label_from_capital_case</f>
        <v xml:space="preserve">From </v>
      </c>
      <c r="B9" s="176"/>
      <c r="C9" s="44" t="str">
        <f>template_label_to</f>
        <v>to</v>
      </c>
      <c r="D9" s="176"/>
      <c r="G9" s="458" t="str">
        <f>template_label_4_the_outcome_of_the_conversion_will_be_displayed_in_the_cell_d6</f>
        <v>4. The outcome of the conversion will be displayed in the cell D6.</v>
      </c>
    </row>
    <row r="10" spans="1:7" s="10" customFormat="1" ht="15" thickBot="1" x14ac:dyDescent="0.4">
      <c r="B10" s="191"/>
      <c r="D10" s="22" t="str">
        <f>IF(OR(B9="",B10="",D9=""),"-", IF(AND(B9="m³ - cubic meters",D9="L - Liter"),B10*1000,
IF(AND(B9="m³ - cubic meters",D9="m³ - cubic meters"),B10*1,
IF(AND(B9="L - Liter",D9="m³ - cubic meters"),B10*0.001,
IF(AND(B9="L - Liter",D9="L - Liter"),B10*1,
"")))))</f>
        <v>-</v>
      </c>
      <c r="G10" s="10" t="str">
        <f>template_label_the_steps_to_follow_for_the_other_tables</f>
        <v>The steps to follow for the other tables (Volume, Energy Consumption, Density and NCV) are the same of the Mass table.</v>
      </c>
    </row>
    <row r="11" spans="1:7" s="10" customFormat="1" ht="15" thickBot="1" x14ac:dyDescent="0.4">
      <c r="B11" s="23"/>
      <c r="D11" s="23"/>
      <c r="G11" s="10" t="str">
        <f>template_label_below_are_specified_all_the_units_of_measurement_conversions_of_each_table</f>
        <v>Below are specified all the Units of measurement conversions of each table.</v>
      </c>
    </row>
    <row r="12" spans="1:7" s="10" customFormat="1" ht="15" customHeight="1" thickBot="1" x14ac:dyDescent="0.4">
      <c r="A12" s="1184" t="str">
        <f>template_label_unit_of_measurement_of_energy_consumption_per_hour</f>
        <v>Unit of measurement of Energy Consumption per Hour</v>
      </c>
      <c r="B12" s="1185"/>
      <c r="C12" s="1185"/>
      <c r="D12" s="1186"/>
      <c r="G12" s="400" t="str">
        <f>template_label_unit_of_measurement_of_mass_converter_list</f>
        <v>▪ Unit of measurement of Mass Converter:</v>
      </c>
    </row>
    <row r="13" spans="1:7" s="10" customFormat="1" ht="15" thickBot="1" x14ac:dyDescent="0.4">
      <c r="A13" s="43" t="str">
        <f>template_label_from_capital_case</f>
        <v xml:space="preserve">From </v>
      </c>
      <c r="B13" s="176"/>
      <c r="C13" s="44" t="str">
        <f>template_label_to</f>
        <v>to</v>
      </c>
      <c r="D13" s="176"/>
      <c r="G13" s="458" t="s">
        <v>4522</v>
      </c>
    </row>
    <row r="14" spans="1:7" s="10" customFormat="1" ht="15" thickBot="1" x14ac:dyDescent="0.4">
      <c r="B14" s="191"/>
      <c r="D14" s="21" t="str">
        <f>IF(OR(B13="",B14="",D13=""),"-",
IF(AND(B13="MWh - Megawatt hours",D13="MWh - Megawatt hours"),B14*1,
IF(AND(B13="TJ - Terajoule",D13="TJ - Terajoule"),B14*1,
IF(AND(B13="TJ - Terajoule",D13="MWh - Megawatt hours"),B14*277.778,
IF(AND(B13="MWh - Megawatt hours",D13="MWh - Megawatt hours"),B14/277.778,
"")))))</f>
        <v>-</v>
      </c>
      <c r="G14" s="458" t="s">
        <v>4523</v>
      </c>
    </row>
    <row r="15" spans="1:7" s="10" customFormat="1" ht="15" thickBot="1" x14ac:dyDescent="0.4">
      <c r="G15" s="458" t="s">
        <v>4524</v>
      </c>
    </row>
    <row r="16" spans="1:7" s="10" customFormat="1" ht="15" thickBot="1" x14ac:dyDescent="0.4">
      <c r="A16" s="1184" t="str">
        <f>template_label_unit_of_measurement_of_density_converter</f>
        <v>Unit of measurement of Density Converter</v>
      </c>
      <c r="B16" s="1185"/>
      <c r="C16" s="1185"/>
      <c r="D16" s="1186"/>
      <c r="G16" s="458" t="s">
        <v>4525</v>
      </c>
    </row>
    <row r="17" spans="1:7" s="10" customFormat="1" ht="15" thickBot="1" x14ac:dyDescent="0.4">
      <c r="A17" s="43" t="str">
        <f>template_label_from_capital_case</f>
        <v xml:space="preserve">From </v>
      </c>
      <c r="B17" s="176"/>
      <c r="C17" s="44" t="str">
        <f>template_label_to</f>
        <v>to</v>
      </c>
      <c r="D17" s="176"/>
      <c r="G17" s="400" t="str">
        <f>template_label_unit_of_measurement_of_volume_converter_list</f>
        <v>▪ Unit of measurement of Volume Converter:</v>
      </c>
    </row>
    <row r="18" spans="1:7" s="10" customFormat="1" ht="15" thickBot="1" x14ac:dyDescent="0.4">
      <c r="B18" s="191"/>
      <c r="D18" s="21" t="str">
        <f>IF(OR(B17="",B16="",D17=""), "-", B18 * INDEX('Fuel Conversion Parameters'!L2:S9, MATCH(B17, 'Fuel Conversion Parameters'!K2:K9, 0), MATCH(D17, 'Fuel Conversion Parameters'!L1:S1, 0)))</f>
        <v>-</v>
      </c>
      <c r="G18" s="458" t="s">
        <v>4526</v>
      </c>
    </row>
    <row r="19" spans="1:7" s="10" customFormat="1" ht="15" thickBot="1" x14ac:dyDescent="0.4">
      <c r="G19" s="458" t="s">
        <v>4527</v>
      </c>
    </row>
    <row r="20" spans="1:7" s="10" customFormat="1" ht="15" customHeight="1" thickBot="1" x14ac:dyDescent="0.4">
      <c r="A20" s="1184" t="str">
        <f>template_label_unit_of_measurement_of_ncv_converter</f>
        <v>Unit of measurement of NCV Converter</v>
      </c>
      <c r="B20" s="1185"/>
      <c r="C20" s="1185"/>
      <c r="D20" s="1186"/>
      <c r="G20" s="400" t="str">
        <f>template_label_unit_of_measurement_of_energy_converter_list</f>
        <v>▪ Unit of measurement of Energy Converter:</v>
      </c>
    </row>
    <row r="21" spans="1:7" s="10" customFormat="1" ht="15" thickBot="1" x14ac:dyDescent="0.4">
      <c r="A21" s="43" t="str">
        <f>template_label_from_capital_case</f>
        <v xml:space="preserve">From </v>
      </c>
      <c r="B21" s="176"/>
      <c r="C21" s="44" t="str">
        <f>template_label_to</f>
        <v>to</v>
      </c>
      <c r="D21" s="176"/>
      <c r="G21" s="458" t="s">
        <v>4528</v>
      </c>
    </row>
    <row r="22" spans="1:7" s="10" customFormat="1" ht="15" thickBot="1" x14ac:dyDescent="0.4">
      <c r="B22" s="191"/>
      <c r="D22" s="24" t="str">
        <f>IF(OR(B21="",B22="",D21=""), "-", B22 * INDEX('Fuel Conversion Parameters'!V2:AK13, MATCH(B21, 'Fuel Conversion Parameters'!U2:U13, 0), MATCH(D21, 'Fuel Conversion Parameters'!V1:AK1, 0)))</f>
        <v>-</v>
      </c>
      <c r="G22" s="458" t="s">
        <v>4529</v>
      </c>
    </row>
    <row r="23" spans="1:7" s="10" customFormat="1" x14ac:dyDescent="0.35">
      <c r="G23" s="400" t="str">
        <f>template_label_unit_of_measurement_of_density_converter_list</f>
        <v>▪ Unit of measurement of Density Converter:</v>
      </c>
    </row>
    <row r="24" spans="1:7" s="10" customFormat="1" x14ac:dyDescent="0.35">
      <c r="G24" s="458" t="s">
        <v>2940</v>
      </c>
    </row>
    <row r="25" spans="1:7" s="10" customFormat="1" x14ac:dyDescent="0.35">
      <c r="G25" s="458" t="s">
        <v>2941</v>
      </c>
    </row>
    <row r="26" spans="1:7" s="10" customFormat="1" x14ac:dyDescent="0.35">
      <c r="G26" s="458" t="s">
        <v>2942</v>
      </c>
    </row>
    <row r="27" spans="1:7" s="10" customFormat="1" x14ac:dyDescent="0.35">
      <c r="G27" s="458" t="s">
        <v>2943</v>
      </c>
    </row>
    <row r="28" spans="1:7" s="10" customFormat="1" x14ac:dyDescent="0.35">
      <c r="G28" s="458" t="s">
        <v>2944</v>
      </c>
    </row>
    <row r="29" spans="1:7" s="10" customFormat="1" x14ac:dyDescent="0.35">
      <c r="G29" s="458" t="s">
        <v>2945</v>
      </c>
    </row>
    <row r="30" spans="1:7" s="10" customFormat="1" x14ac:dyDescent="0.35">
      <c r="G30" s="458" t="s">
        <v>2946</v>
      </c>
    </row>
    <row r="31" spans="1:7" s="10" customFormat="1" x14ac:dyDescent="0.35">
      <c r="G31" s="458" t="s">
        <v>2947</v>
      </c>
    </row>
    <row r="32" spans="1:7" s="10" customFormat="1" x14ac:dyDescent="0.35">
      <c r="G32" s="400" t="str">
        <f>template_label_unit_of_measurement_of_ncv_converter_list</f>
        <v>▪ Unit of measurement of NCV Converter:</v>
      </c>
    </row>
    <row r="33" spans="7:7" s="10" customFormat="1" x14ac:dyDescent="0.35">
      <c r="G33" s="458" t="s">
        <v>2948</v>
      </c>
    </row>
    <row r="34" spans="7:7" s="10" customFormat="1" x14ac:dyDescent="0.35">
      <c r="G34" s="458" t="s">
        <v>2949</v>
      </c>
    </row>
    <row r="35" spans="7:7" s="10" customFormat="1" x14ac:dyDescent="0.35">
      <c r="G35" s="458" t="s">
        <v>2950</v>
      </c>
    </row>
    <row r="36" spans="7:7" s="10" customFormat="1" x14ac:dyDescent="0.35">
      <c r="G36" s="458" t="s">
        <v>2951</v>
      </c>
    </row>
    <row r="37" spans="7:7" s="10" customFormat="1" x14ac:dyDescent="0.35">
      <c r="G37" s="458" t="s">
        <v>3020</v>
      </c>
    </row>
    <row r="38" spans="7:7" s="10" customFormat="1" x14ac:dyDescent="0.35">
      <c r="G38" s="458" t="s">
        <v>3021</v>
      </c>
    </row>
    <row r="39" spans="7:7" s="10" customFormat="1" x14ac:dyDescent="0.35">
      <c r="G39" s="458" t="s">
        <v>3022</v>
      </c>
    </row>
    <row r="40" spans="7:7" s="10" customFormat="1" x14ac:dyDescent="0.35">
      <c r="G40" s="458" t="s">
        <v>3023</v>
      </c>
    </row>
    <row r="41" spans="7:7" s="10" customFormat="1" x14ac:dyDescent="0.35">
      <c r="G41" s="458" t="s">
        <v>2952</v>
      </c>
    </row>
    <row r="42" spans="7:7" s="10" customFormat="1" x14ac:dyDescent="0.35">
      <c r="G42" s="458" t="s">
        <v>2953</v>
      </c>
    </row>
    <row r="43" spans="7:7" s="10" customFormat="1" x14ac:dyDescent="0.35">
      <c r="G43" s="458" t="s">
        <v>2954</v>
      </c>
    </row>
    <row r="44" spans="7:7" s="10" customFormat="1" x14ac:dyDescent="0.35">
      <c r="G44" s="458" t="s">
        <v>2955</v>
      </c>
    </row>
    <row r="45" spans="7:7" s="10" customFormat="1" x14ac:dyDescent="0.35">
      <c r="G45" s="458" t="s">
        <v>2956</v>
      </c>
    </row>
    <row r="46" spans="7:7" s="10" customFormat="1" x14ac:dyDescent="0.35">
      <c r="G46" s="458" t="s">
        <v>2957</v>
      </c>
    </row>
    <row r="47" spans="7:7" s="10" customFormat="1" x14ac:dyDescent="0.35">
      <c r="G47" s="458" t="s">
        <v>2958</v>
      </c>
    </row>
    <row r="48" spans="7:7" s="10" customFormat="1" x14ac:dyDescent="0.35">
      <c r="G48" s="458" t="s">
        <v>2959</v>
      </c>
    </row>
    <row r="49" spans="7:7" s="10" customFormat="1" x14ac:dyDescent="0.35"/>
    <row r="50" spans="7:7" s="10" customFormat="1" x14ac:dyDescent="0.35">
      <c r="G50" s="457"/>
    </row>
    <row r="51" spans="7:7" s="10" customFormat="1" x14ac:dyDescent="0.35"/>
    <row r="52" spans="7:7" s="10" customFormat="1" x14ac:dyDescent="0.35">
      <c r="G52" s="457"/>
    </row>
    <row r="53" spans="7:7" s="10" customFormat="1" x14ac:dyDescent="0.35"/>
    <row r="54" spans="7:7" s="10" customFormat="1" x14ac:dyDescent="0.35">
      <c r="G54" s="457"/>
    </row>
    <row r="55" spans="7:7" s="10" customFormat="1" x14ac:dyDescent="0.35"/>
    <row r="56" spans="7:7" s="10" customFormat="1" x14ac:dyDescent="0.35">
      <c r="G56" s="457"/>
    </row>
    <row r="57" spans="7:7" s="10" customFormat="1" x14ac:dyDescent="0.35"/>
    <row r="58" spans="7:7" s="10" customFormat="1" x14ac:dyDescent="0.35">
      <c r="G58" s="457"/>
    </row>
    <row r="59" spans="7:7" s="10" customFormat="1" x14ac:dyDescent="0.35"/>
    <row r="60" spans="7:7" s="10" customFormat="1" x14ac:dyDescent="0.35">
      <c r="G60" s="457"/>
    </row>
    <row r="61" spans="7:7" s="10" customFormat="1" x14ac:dyDescent="0.35"/>
    <row r="62" spans="7:7" s="10" customFormat="1" x14ac:dyDescent="0.35">
      <c r="G62" s="457"/>
    </row>
    <row r="63" spans="7:7" s="10" customFormat="1" x14ac:dyDescent="0.35"/>
    <row r="64" spans="7:7" s="10" customFormat="1" x14ac:dyDescent="0.35">
      <c r="G64" s="457"/>
    </row>
    <row r="65" spans="7:7" s="10" customFormat="1" x14ac:dyDescent="0.35"/>
    <row r="66" spans="7:7" s="10" customFormat="1" x14ac:dyDescent="0.35">
      <c r="G66" s="457"/>
    </row>
    <row r="67" spans="7:7" s="10" customFormat="1" x14ac:dyDescent="0.35"/>
    <row r="68" spans="7:7" s="10" customFormat="1" x14ac:dyDescent="0.35">
      <c r="G68" s="457"/>
    </row>
    <row r="69" spans="7:7" s="10" customFormat="1" x14ac:dyDescent="0.35"/>
    <row r="70" spans="7:7" s="10" customFormat="1" x14ac:dyDescent="0.35"/>
    <row r="71" spans="7:7" s="10" customFormat="1" x14ac:dyDescent="0.35"/>
    <row r="72" spans="7:7" s="10" customFormat="1" x14ac:dyDescent="0.35"/>
    <row r="73" spans="7:7" s="10" customFormat="1" x14ac:dyDescent="0.35"/>
    <row r="74" spans="7:7" s="10" customFormat="1" x14ac:dyDescent="0.35"/>
    <row r="75" spans="7:7" s="10" customFormat="1" x14ac:dyDescent="0.35"/>
    <row r="76" spans="7:7" s="10" customFormat="1" x14ac:dyDescent="0.35"/>
    <row r="77" spans="7:7" s="10" customFormat="1" x14ac:dyDescent="0.35"/>
    <row r="78" spans="7:7" s="10" customFormat="1" x14ac:dyDescent="0.35"/>
    <row r="79" spans="7:7" s="10" customFormat="1" x14ac:dyDescent="0.35"/>
    <row r="80" spans="7:7" s="10" customFormat="1" x14ac:dyDescent="0.35"/>
    <row r="81" s="10" customFormat="1" x14ac:dyDescent="0.35"/>
    <row r="82" s="10" customFormat="1" x14ac:dyDescent="0.35"/>
    <row r="83" s="10" customFormat="1" x14ac:dyDescent="0.35"/>
    <row r="84" s="10" customFormat="1" x14ac:dyDescent="0.35"/>
    <row r="85" s="10" customFormat="1" x14ac:dyDescent="0.35"/>
    <row r="86" s="10" customFormat="1" x14ac:dyDescent="0.35"/>
    <row r="87" s="10" customFormat="1" x14ac:dyDescent="0.35"/>
    <row r="88" s="10" customFormat="1" x14ac:dyDescent="0.35"/>
    <row r="89" s="10" customFormat="1" x14ac:dyDescent="0.35"/>
    <row r="90" s="10" customFormat="1" x14ac:dyDescent="0.35"/>
    <row r="91" s="10" customFormat="1" x14ac:dyDescent="0.35"/>
    <row r="92" s="10" customFormat="1" x14ac:dyDescent="0.35"/>
    <row r="93" s="10" customFormat="1" x14ac:dyDescent="0.35"/>
    <row r="94" s="10" customFormat="1" x14ac:dyDescent="0.35"/>
    <row r="95" s="10" customFormat="1" x14ac:dyDescent="0.35"/>
    <row r="96" s="10" customFormat="1" x14ac:dyDescent="0.35"/>
    <row r="97" s="10" customFormat="1" x14ac:dyDescent="0.35"/>
    <row r="98" s="10" customFormat="1" x14ac:dyDescent="0.35"/>
    <row r="99" s="10" customFormat="1" x14ac:dyDescent="0.35"/>
    <row r="100" s="10" customFormat="1" x14ac:dyDescent="0.35"/>
    <row r="101" s="10" customFormat="1" x14ac:dyDescent="0.35"/>
    <row r="102" s="10" customFormat="1" x14ac:dyDescent="0.35"/>
    <row r="103" s="10" customFormat="1" x14ac:dyDescent="0.35"/>
    <row r="104" s="10" customFormat="1" x14ac:dyDescent="0.35"/>
    <row r="105" s="10" customFormat="1" x14ac:dyDescent="0.35"/>
    <row r="106" s="10" customFormat="1" x14ac:dyDescent="0.35"/>
    <row r="107" s="10" customFormat="1" x14ac:dyDescent="0.35"/>
    <row r="108" s="10" customFormat="1" x14ac:dyDescent="0.35"/>
    <row r="109" s="10" customFormat="1" x14ac:dyDescent="0.35"/>
    <row r="110" s="10" customFormat="1" x14ac:dyDescent="0.35"/>
    <row r="111" s="10" customFormat="1" x14ac:dyDescent="0.35"/>
    <row r="112" s="10" customFormat="1" x14ac:dyDescent="0.35"/>
    <row r="113" s="10" customFormat="1" x14ac:dyDescent="0.35"/>
    <row r="114" s="10" customFormat="1" x14ac:dyDescent="0.35"/>
    <row r="115" s="10" customFormat="1" x14ac:dyDescent="0.35"/>
    <row r="116" s="10" customFormat="1" x14ac:dyDescent="0.35"/>
    <row r="117" s="10" customFormat="1" x14ac:dyDescent="0.35"/>
    <row r="118" s="10" customFormat="1" x14ac:dyDescent="0.35"/>
    <row r="119" s="10" customFormat="1" x14ac:dyDescent="0.35"/>
    <row r="120" s="10" customFormat="1" x14ac:dyDescent="0.35"/>
    <row r="121" s="10" customFormat="1" x14ac:dyDescent="0.35"/>
    <row r="122" s="10" customFormat="1" x14ac:dyDescent="0.35"/>
    <row r="123" s="10" customFormat="1" x14ac:dyDescent="0.35"/>
    <row r="124" s="10" customFormat="1" x14ac:dyDescent="0.35"/>
    <row r="125" s="10" customFormat="1" x14ac:dyDescent="0.35"/>
    <row r="126" s="10" customFormat="1" x14ac:dyDescent="0.35"/>
    <row r="127" s="10" customFormat="1" x14ac:dyDescent="0.35"/>
    <row r="128" s="10" customFormat="1" x14ac:dyDescent="0.35"/>
    <row r="129" s="10" customFormat="1" x14ac:dyDescent="0.35"/>
    <row r="130" s="10" customFormat="1" x14ac:dyDescent="0.35"/>
    <row r="131" s="10" customFormat="1" x14ac:dyDescent="0.35"/>
    <row r="132" s="10" customFormat="1" x14ac:dyDescent="0.35"/>
    <row r="133" s="10" customFormat="1" x14ac:dyDescent="0.35"/>
    <row r="134" s="10" customFormat="1" x14ac:dyDescent="0.35"/>
    <row r="135" s="10" customFormat="1" x14ac:dyDescent="0.35"/>
    <row r="136" s="10" customFormat="1" x14ac:dyDescent="0.35"/>
    <row r="137" s="10" customFormat="1" x14ac:dyDescent="0.35"/>
    <row r="138" s="10" customFormat="1" x14ac:dyDescent="0.35"/>
  </sheetData>
  <sheetProtection algorithmName="SHA-512" hashValue="zs62C5jXcmTvMEoQRg4WZ+XEaYs4uphz5627FDauyYA4sIsiehXoM27SUesmYlUlyvAp+xGFGazWVh2f8DCiKw==" saltValue="j/SijdMsbjrk/XY7+1cXqQ==" spinCount="100000" sheet="1" formatColumns="0" formatRows="0"/>
  <mergeCells count="6">
    <mergeCell ref="A20:D20"/>
    <mergeCell ref="A1:C1"/>
    <mergeCell ref="A4:D4"/>
    <mergeCell ref="A8:D8"/>
    <mergeCell ref="A12:D12"/>
    <mergeCell ref="A16:D16"/>
  </mergeCells>
  <dataValidations count="7">
    <dataValidation type="list" operator="equal" allowBlank="1" showInputMessage="1" showErrorMessage="1" sqref="B13" xr:uid="{A9CD0C44-25C5-48B8-B7EE-63189813787D}">
      <formula1>enum_ListEnergy</formula1>
    </dataValidation>
    <dataValidation type="list" allowBlank="1" showInputMessage="1" showErrorMessage="1" sqref="B13 D13" xr:uid="{CDCA923B-F41E-402B-8B88-08D1452141EE}">
      <formula1>enum_ListEnergy</formula1>
    </dataValidation>
    <dataValidation type="list" allowBlank="1" showInputMessage="1" showErrorMessage="1" sqref="B21 D21" xr:uid="{D98D3F66-2EF1-4C62-9847-69576CCD1DFA}">
      <formula1>enum_ListNCV</formula1>
    </dataValidation>
    <dataValidation type="list" allowBlank="1" showInputMessage="1" showErrorMessage="1" sqref="B17 D17" xr:uid="{9C88730F-A2BD-4A7C-B477-57EC1635848C}">
      <formula1>enum_ListDensity</formula1>
    </dataValidation>
    <dataValidation type="decimal" operator="equal" allowBlank="1" showInputMessage="1" showErrorMessage="1" sqref="B6 B18 B22 B10:B12 B14" xr:uid="{3759D409-B1C7-4A30-BB86-3C7C72B2286F}">
      <formula1>B6</formula1>
    </dataValidation>
    <dataValidation type="list" allowBlank="1" showInputMessage="1" showErrorMessage="1" sqref="B5 D5" xr:uid="{A01119ED-108C-4BE8-A627-CC54046F0F25}">
      <formula1>enum_ListMass</formula1>
    </dataValidation>
    <dataValidation type="list" allowBlank="1" showInputMessage="1" showErrorMessage="1" sqref="D9 B9" xr:uid="{BAAEF948-B8C7-44A0-9A7F-849F797DA8B2}">
      <formula1>enum_ListVolume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869fc0a-bb9b-490e-90c3-c2d1f13d8cbe" xsi:nil="true"/>
    <lcf76f155ced4ddcb4097134ff3c332f xmlns="9c272bc7-1263-4f96-94a3-f710d87d227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0762B0F40C11B4C87CE7EAFB64A35D4" ma:contentTypeVersion="16" ma:contentTypeDescription="Vytvoří nový dokument" ma:contentTypeScope="" ma:versionID="6a950675591f19592d21c79fd2368527">
  <xsd:schema xmlns:xsd="http://www.w3.org/2001/XMLSchema" xmlns:xs="http://www.w3.org/2001/XMLSchema" xmlns:p="http://schemas.microsoft.com/office/2006/metadata/properties" xmlns:ns2="9c272bc7-1263-4f96-94a3-f710d87d227e" xmlns:ns3="9869fc0a-bb9b-490e-90c3-c2d1f13d8cbe" targetNamespace="http://schemas.microsoft.com/office/2006/metadata/properties" ma:root="true" ma:fieldsID="f8c8a2c377502e4cd87932f489781821" ns2:_="" ns3:_="">
    <xsd:import namespace="9c272bc7-1263-4f96-94a3-f710d87d227e"/>
    <xsd:import namespace="9869fc0a-bb9b-490e-90c3-c2d1f13d8cb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272bc7-1263-4f96-94a3-f710d87d22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bf3de35f-2d16-4a52-894d-799fe225cd6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69fc0a-bb9b-490e-90c3-c2d1f13d8cb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e0ccd7-96f3-42b3-91fb-54681a6f3fc1}" ma:internalName="TaxCatchAll" ma:showField="CatchAllData" ma:web="9869fc0a-bb9b-490e-90c3-c2d1f13d8cb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3942F3-16A5-4815-B8A9-F6DE569DC588}">
  <ds:schemaRefs>
    <ds:schemaRef ds:uri="03dbcffb-d0ee-4b89-b5e3-7c232fa0562c"/>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www.w3.org/XML/1998/namespace"/>
    <ds:schemaRef ds:uri="1daca54f-5fb0-46da-90de-dff88369e459"/>
    <ds:schemaRef ds:uri="http://schemas.microsoft.com/office/2006/metadata/properties"/>
    <ds:schemaRef ds:uri="http://purl.org/dc/elements/1.1/"/>
    <ds:schemaRef ds:uri="http://purl.org/dc/terms/"/>
  </ds:schemaRefs>
</ds:datastoreItem>
</file>

<file path=customXml/itemProps2.xml><?xml version="1.0" encoding="utf-8"?>
<ds:datastoreItem xmlns:ds="http://schemas.openxmlformats.org/officeDocument/2006/customXml" ds:itemID="{029F4E4E-1463-445F-A6B0-E231F0F90061}"/>
</file>

<file path=customXml/itemProps3.xml><?xml version="1.0" encoding="utf-8"?>
<ds:datastoreItem xmlns:ds="http://schemas.openxmlformats.org/officeDocument/2006/customXml" ds:itemID="{E6AEBA6F-9411-4923-AA77-FC83D4C002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792</vt:i4>
      </vt:variant>
    </vt:vector>
  </HeadingPairs>
  <TitlesOfParts>
    <vt:vector size="805" baseType="lpstr">
      <vt:lpstr>Introduction</vt:lpstr>
      <vt:lpstr>Table of Contents &amp; Validation</vt:lpstr>
      <vt:lpstr>General Information</vt:lpstr>
      <vt:lpstr>Environmental Disclosures</vt:lpstr>
      <vt:lpstr>Social Disclosures</vt:lpstr>
      <vt:lpstr>Governance Disclosures</vt:lpstr>
      <vt:lpstr>Fuel Converter</vt:lpstr>
      <vt:lpstr>Fuel Conversion Parameters</vt:lpstr>
      <vt:lpstr>Unit Of Measurement Converter</vt:lpstr>
      <vt:lpstr>Licence</vt:lpstr>
      <vt:lpstr>Enumeration Lists</vt:lpstr>
      <vt:lpstr>Translations</vt:lpstr>
      <vt:lpstr>Technical Sheet</vt:lpstr>
      <vt:lpstr>AddressOfSite</vt:lpstr>
      <vt:lpstr>AmountOfEmissionsTable</vt:lpstr>
      <vt:lpstr>AmountOfEmissionToAir</vt:lpstr>
      <vt:lpstr>AmountOfEmissionToAir_unit</vt:lpstr>
      <vt:lpstr>AmountOfEmissionToSoil</vt:lpstr>
      <vt:lpstr>AmountOfEmissionToSoil_unit</vt:lpstr>
      <vt:lpstr>AmountOfEmissionToWater</vt:lpstr>
      <vt:lpstr>AmountOfEmissionToWater_unit</vt:lpstr>
      <vt:lpstr>AmountOfWaterWithdrawnAtSitesLocatedInAreasOfHighWaterStress</vt:lpstr>
      <vt:lpstr>AreaOfSiteInBiodiversitySensitiveArea</vt:lpstr>
      <vt:lpstr>AreaOfSiteInBiodiversitySensitiveArea_unit</vt:lpstr>
      <vt:lpstr>Assets</vt:lpstr>
      <vt:lpstr>AverageNumberOfAnnualTrainingHoursPerFemaleEmployee</vt:lpstr>
      <vt:lpstr>AverageNumberOfAnnualTrainingHoursPerMaleEmployee</vt:lpstr>
      <vt:lpstr>AverageNumberOfAnnualTrainingHoursPerNonReportedGenderEmployee</vt:lpstr>
      <vt:lpstr>AverageNumberOfAnnualTrainingHoursPerOtherGenderEmployee</vt:lpstr>
      <vt:lpstr>BaselineYearMember</vt:lpstr>
      <vt:lpstr>BasisForPreparation</vt:lpstr>
      <vt:lpstr>BasisForReporting</vt:lpstr>
      <vt:lpstr>BreakdownOfAnnualMassFlowOfRelevantMaterialsUsedByTheUndertakingHypercube</vt:lpstr>
      <vt:lpstr>BreakdownOfEnergyConsumptionAxis</vt:lpstr>
      <vt:lpstr>BreakdownOfEnergyConsumptionTable</vt:lpstr>
      <vt:lpstr>CityOfSite</vt:lpstr>
      <vt:lpstr>CountryOfEmploymentContractAxis</vt:lpstr>
      <vt:lpstr>CountryOfPrimaryOperationsAndLocationOfSignificantAssets</vt:lpstr>
      <vt:lpstr>CountryOfSite</vt:lpstr>
      <vt:lpstr>DateOfAdoptionOfTransitionPlanForUndertakingNotHavingAdoptedTransitionPlanYet</vt:lpstr>
      <vt:lpstr>DescriptionOfActionsTakeToAddressTheConfirmedIncidents</vt:lpstr>
      <vt:lpstr>DescriptionOfATargetRelatedToAPolicy</vt:lpstr>
      <vt:lpstr>DescriptionOfATransitionPlanForClimateChangeMitigationIncludingAnExplanationOfHowItIsContributingToReduceGhgEmissions</vt:lpstr>
      <vt:lpstr>DescriptionOfClimateRelatedHazardsAndClimateRelatedTransitionEvents</vt:lpstr>
      <vt:lpstr>DescriptionOfHowCircularEconomyPrinciplesAreApplied</vt:lpstr>
      <vt:lpstr>DescriptionOfKeyElementsOfStrategyThatRelatesToOrAffectsSustainabilityIssues</vt:lpstr>
      <vt:lpstr>DescriptionOfLimitsToTheDistributionOfProfitsConnectedToTheMutualisticNatureOrToTheNatureOfTheActivitiesConsistingInServicesOfGeneralEconomicInterestSGEI</vt:lpstr>
      <vt:lpstr>DescriptionOfMainBusinessRelationships</vt:lpstr>
      <vt:lpstr>DescriptionOfPracticesPoliciesAndOrFutureInitiatives</vt:lpstr>
      <vt:lpstr>DescriptionOfSignificantGroupsOfProductsAndOrServicesOffered</vt:lpstr>
      <vt:lpstr>DescriptionOfSignificantMarketsTheUndertakingOperatesIn</vt:lpstr>
      <vt:lpstr>DescriptionOfSustainabilityRelatedCertificationsOrLabels</vt:lpstr>
      <vt:lpstr>DescriptionOfTheEffectiveParticipationOfWorkersUsersOrOtherInterestedPartiesOrCommunitiesInGovernance</vt:lpstr>
      <vt:lpstr>DisclosureOfAnyOtherEnvironmentalAndOrEntitySpecificEnvironmentalDisclosures</vt:lpstr>
      <vt:lpstr>DisclosureOfAnyOtherGeneralAndOrEntitySpecificInformation</vt:lpstr>
      <vt:lpstr>DisclosureOfAnyOtherGovernanceAndOrEntitySpecificGovernanceDisclosures</vt:lpstr>
      <vt:lpstr>DisclosureOfAnyOtherSocialAndOrEntitySpecificSocialDisclosures</vt:lpstr>
      <vt:lpstr>DisclosureOfHowItHasAssessedTheExposureAndSensitivityOfItsAssetsActivitiesAndValueChainToTheseHazardsAndTransitionEvents</vt:lpstr>
      <vt:lpstr>DisclosureOfListOfMainActionsTheEntitySeeksInOrderToAchieveItsTargets</vt:lpstr>
      <vt:lpstr>DisclosureOfWhetherItHasUndertakenClimateChangeAdaptationActionsForAnyClimateRelatedHazardsAndTransitionEvents</vt:lpstr>
      <vt:lpstr>EmployeeCountingMethodology</vt:lpstr>
      <vt:lpstr>EmployeesReceivePayEqualOrAboveMinimumWageDeterminedByNationalLawOrCollectiveAgreement</vt:lpstr>
      <vt:lpstr>EmployeeTurnoverRate</vt:lpstr>
      <vt:lpstr>EnergyConsumptionFromElectricity_NonRenewableEnergyMember</vt:lpstr>
      <vt:lpstr>EnergyConsumptionFromElectricity_RenewableEnergyMember</vt:lpstr>
      <vt:lpstr>EnergyConsumptionFromElectricity_TotalRenewableAndNonRenewableEnergyMember</vt:lpstr>
      <vt:lpstr>EnergyConsumptionFromFuels_NonRenewableEnergyMember</vt:lpstr>
      <vt:lpstr>EnergyConsumptionFromFuels_RenewableEnergyMember</vt:lpstr>
      <vt:lpstr>EnergyConsumptionFromFuels_TotalRenewableAndNonRenewableEnergyMember</vt:lpstr>
      <vt:lpstr>EnergyConsumptionFromSelfGeneratedElectricity_NonRenewableEnergyMember</vt:lpstr>
      <vt:lpstr>EnergyConsumptionFromSelfGeneratedElectricity_RenewableEnergyMember</vt:lpstr>
      <vt:lpstr>EnergyConsumptionFromSelfGeneratedElectricity_TotalRenewableAndNonRenewableEnergyMember</vt:lpstr>
      <vt:lpstr>enum_B2</vt:lpstr>
      <vt:lpstr>enum_employee_methodology</vt:lpstr>
      <vt:lpstr>enum_ImplementationStatus</vt:lpstr>
      <vt:lpstr>enum_ListBiodiversityArea</vt:lpstr>
      <vt:lpstr>enum_ListCountiesCode</vt:lpstr>
      <vt:lpstr>enum_ListCountriesName</vt:lpstr>
      <vt:lpstr>enum_ListDays</vt:lpstr>
      <vt:lpstr>enum_ListDensity</vt:lpstr>
      <vt:lpstr>enum_ListEnergy</vt:lpstr>
      <vt:lpstr>enum_ListFuel</vt:lpstr>
      <vt:lpstr>enum_ListHectM2</vt:lpstr>
      <vt:lpstr>enum_ListIdentifier</vt:lpstr>
      <vt:lpstr>enum_ListLegalForms</vt:lpstr>
      <vt:lpstr>enum_ListMass</vt:lpstr>
      <vt:lpstr>enum_ListMediumOfRelease</vt:lpstr>
      <vt:lpstr>enum_ListMonth</vt:lpstr>
      <vt:lpstr>enum_ListNACECategories</vt:lpstr>
      <vt:lpstr>enum_ListNACECode</vt:lpstr>
      <vt:lpstr>enum_ListNACETechnicalName</vt:lpstr>
      <vt:lpstr>enum_ListNCV</vt:lpstr>
      <vt:lpstr>enum_ListOfCurrencies</vt:lpstr>
      <vt:lpstr>enum_ListOfFutureYears</vt:lpstr>
      <vt:lpstr>enum_ListOfPastYears</vt:lpstr>
      <vt:lpstr>enum_ListOmittedDisclosures</vt:lpstr>
      <vt:lpstr>enum_ListOmittedDisclosuresWithNone</vt:lpstr>
      <vt:lpstr>enum_ListPollutants</vt:lpstr>
      <vt:lpstr>enum_ListRenewabilityState</vt:lpstr>
      <vt:lpstr>enum_ListStateOfMatter</vt:lpstr>
      <vt:lpstr>enum_ListSustainabilityIssues</vt:lpstr>
      <vt:lpstr>enum_ListTypeOfWastes</vt:lpstr>
      <vt:lpstr>enum_ListUnitMeasurement</vt:lpstr>
      <vt:lpstr>enum_ListUnitMeasurement_mass_only</vt:lpstr>
      <vt:lpstr>enum_ListVolume</vt:lpstr>
      <vt:lpstr>enum_ListVolumeMass</vt:lpstr>
      <vt:lpstr>enum_ListWasteCategories</vt:lpstr>
      <vt:lpstr>enum_ListYear</vt:lpstr>
      <vt:lpstr>enum_ListYesNo</vt:lpstr>
      <vt:lpstr>FemaleToMaleRatioAtManagementLevelForTheReportingPeriod</vt:lpstr>
      <vt:lpstr>FinancialInvestmentInTheCapitalOrAssetsOfSocialEconomyEntities</vt:lpstr>
      <vt:lpstr>GenderDiversityRatioInGovernanceBody</vt:lpstr>
      <vt:lpstr>GPSLocationOfSite</vt:lpstr>
      <vt:lpstr>GreenhouseGasEmissionReductionTargetBaseYear</vt:lpstr>
      <vt:lpstr>GreenhouseGasEmissionReductionTargetYear</vt:lpstr>
      <vt:lpstr>GrossLocationBasedScope2GreenhouseGasEmissions</vt:lpstr>
      <vt:lpstr>GrossLocationBasedScope2GreenhouseGasEmissions_BaselineYearMember</vt:lpstr>
      <vt:lpstr>GrossLocationBasedScope2GreenhouseGasEmissions_TargetYearMember</vt:lpstr>
      <vt:lpstr>GrossMarketBasedScope2GreenhouseGasEmissions</vt:lpstr>
      <vt:lpstr>GrossMarketBasedScope2GreenhouseGasEmissions_BaselineYearMember</vt:lpstr>
      <vt:lpstr>GrossMarketBasedScope2GreenhouseGasEmissions_TargetYearMember</vt:lpstr>
      <vt:lpstr>GrossScope1GreenhouseGasEmissions</vt:lpstr>
      <vt:lpstr>GrossScope1GreenhouseGasEmissions_BaselineYearMember</vt:lpstr>
      <vt:lpstr>GrossScope1GreenhouseGasEmissions_TargetYearMember</vt:lpstr>
      <vt:lpstr>GrossScope3GreenhouseGasEmissions_BaselineYearMember</vt:lpstr>
      <vt:lpstr>GrossScope3GreenhouseGasEmissions_CurrentlyStatedMember</vt:lpstr>
      <vt:lpstr>GrossScope3GreenhouseGasEmissions_TargetYearMember</vt:lpstr>
      <vt:lpstr>IdentifierOfMaterialTypedAxis</vt:lpstr>
      <vt:lpstr>IdentifierOfSitesInBiodiversitySensitiveAreasTypedAxis</vt:lpstr>
      <vt:lpstr>IdentifierOfSiteTypedAxis</vt:lpstr>
      <vt:lpstr>IdentifierOfSubsidiaryTypedAxis</vt:lpstr>
      <vt:lpstr>LinkToPreviousReportContainingDisclosuresThatRemainUnchanged</vt:lpstr>
      <vt:lpstr>ListOfDisclosuresForWhichNoChangesAreReportedComparedToThePreviousPeriodReporting</vt:lpstr>
      <vt:lpstr>ListOfOmittedDisclosuresDeemedToBeClassifiedOrSensitiveInformation</vt:lpstr>
      <vt:lpstr>ListOfSitesTable</vt:lpstr>
      <vt:lpstr>ListOfSubsidiaryTable</vt:lpstr>
      <vt:lpstr>MostSeniorLevelAccountableForImplementationOfPolicies</vt:lpstr>
      <vt:lpstr>NaceSectorClassificationCodes</vt:lpstr>
      <vt:lpstr>NameOfMaterialUsed</vt:lpstr>
      <vt:lpstr>NameOfTheSubsidiary</vt:lpstr>
      <vt:lpstr>NumberOfEmployees</vt:lpstr>
      <vt:lpstr>NumberOfEmployeesForCountryOfEmploymentContract</vt:lpstr>
      <vt:lpstr>NumberOfEmployeesForCountryOfEmploymentContractTable</vt:lpstr>
      <vt:lpstr>NumberOfFatalitiesAsAResultOfWorkRelatedInjuriesAndWorkRelatedIllHealth</vt:lpstr>
      <vt:lpstr>NumberOfFemaleEmployees</vt:lpstr>
      <vt:lpstr>NumberOfMaleEmployees</vt:lpstr>
      <vt:lpstr>NumberOfNonReportedGenderEmployees</vt:lpstr>
      <vt:lpstr>NumberOfOtherGenderEmployees</vt:lpstr>
      <vt:lpstr>NumberOfPermanentContractEmployees</vt:lpstr>
      <vt:lpstr>NumberOfRecordableWorkRelatedAccidentsInTheReportingPeriod</vt:lpstr>
      <vt:lpstr>NumberOfTemporaryContractEmployees</vt:lpstr>
      <vt:lpstr>OtherUndertakingsLegalForm</vt:lpstr>
      <vt:lpstr>PercentageGapInPayBetweenFemaleAndMaleEmployees</vt:lpstr>
      <vt:lpstr>PercentageOfEmployeesCoveredByCollectiveBargainingAgreements</vt:lpstr>
      <vt:lpstr>PostalCodeOfSite</vt:lpstr>
      <vt:lpstr>PotentialAdverseEffectsOfClimateRisksThatMayAffectItsFinancialPerformanceOrBusinessOperationsInTheShortMediumOrLongTermIndicatingWhetherItAssessesTheRisksToBeHighMediumOrLow</vt:lpstr>
      <vt:lpstr>PracticePolicyAndOrFutureInitiativeIsPubliclyAvailable</vt:lpstr>
      <vt:lpstr>PubliclyAvailableDisclosure</vt:lpstr>
      <vt:lpstr>RateOfRecordableWorkRelatedAccidentsInTheReportingPeriod</vt:lpstr>
      <vt:lpstr>RegisteredAddressOfTheSubsidiary</vt:lpstr>
      <vt:lpstr>ReportContainsDisclosuresFromThePreviousReportingPeriodThatRemainUnchanged</vt:lpstr>
      <vt:lpstr>RevenueDerivedFromChemicalProduction</vt:lpstr>
      <vt:lpstr>RevenueDerivedFromCoal</vt:lpstr>
      <vt:lpstr>RevenueDerivedFromControversialWeaponsAntiPersonnelMinesClusterMunitionsChemicalWeaponsAndBiologicalWeapons</vt:lpstr>
      <vt:lpstr>RevenueDerivedFromCultivationAndProductionOfTobacco</vt:lpstr>
      <vt:lpstr>RevenueDerivedFromGas</vt:lpstr>
      <vt:lpstr>RevenueDerivedFromOil</vt:lpstr>
      <vt:lpstr>Scope1AndScope2GreenhouseGasEmissionsIntensityValueLocationBased</vt:lpstr>
      <vt:lpstr>Scope1AndScope2GreenhouseGasEmissionsIntensityValueMarketBased</vt:lpstr>
      <vt:lpstr>SiteLocatedInABiodiversitySensitiveArea</vt:lpstr>
      <vt:lpstr>SiteLocatedNearABiodiversitySensitiveArea</vt:lpstr>
      <vt:lpstr>SitesInBiodiversitySensitiveAreasTable</vt:lpstr>
      <vt:lpstr>SpecificationOfAnyConfirmedIncidentInvolvingWorkersInTheValueChainAffectedCommunitiesConsumersAndEndUsers</vt:lpstr>
      <vt:lpstr>SpecificationOfOtherHumanRightsRelatedToTheConfirmedIncident</vt:lpstr>
      <vt:lpstr>SpecificationOfOtherTypesOfContentCoveredByTheCodeOfConductOrHumanRightsPolicy</vt:lpstr>
      <vt:lpstr>SustainabilityIssueAddressedByPracticePolicyAndOrFutureInitiative</vt:lpstr>
      <vt:lpstr>TargetYearMember</vt:lpstr>
      <vt:lpstr>template_b1_basis_for_preparation_and_other_undertakings_general_information</vt:lpstr>
      <vt:lpstr>template_b1_disclosure_of_sustainability_related_certifications_or_labels</vt:lpstr>
      <vt:lpstr>template_b1_list_of_sites</vt:lpstr>
      <vt:lpstr>template_b1_list_of_subsidiaries</vt:lpstr>
      <vt:lpstr>template_b10_workforce_remuneration_collective_bargaining_and_training</vt:lpstr>
      <vt:lpstr>template_b11_convictions_and_fines_for_corruption_and_bribery</vt:lpstr>
      <vt:lpstr>template_b2_cooperative_specific_disclosures</vt:lpstr>
      <vt:lpstr>template_b2_practices_policies_and_future_initiatives_for_transitioning_towards_a_more_sustainable_economy</vt:lpstr>
      <vt:lpstr>template_b3_breakdown_of_energy_consumption_in_MWh</vt:lpstr>
      <vt:lpstr>template_b3_estimated_greenhouse_gas_emissions_considering_the_GHG_protocol_version_2004_in_tCO2e</vt:lpstr>
      <vt:lpstr>template_b3_greenhouse_gas_emission_intensity_per_turnover</vt:lpstr>
      <vt:lpstr>template_b3_total_energy_consumption_in_MWh</vt:lpstr>
      <vt:lpstr>template_b4_pollution_of_air_water_and_soil</vt:lpstr>
      <vt:lpstr>template_b5_biodiversity_land_use</vt:lpstr>
      <vt:lpstr>template_b5_sites_in_biodiversity_sensitive_areas</vt:lpstr>
      <vt:lpstr>template_b6_water_consumption</vt:lpstr>
      <vt:lpstr>template_b6_water_withdrawal</vt:lpstr>
      <vt:lpstr>template_b7_annual_mass_flow_of_relevant_materials_used</vt:lpstr>
      <vt:lpstr>template_b7_description_of_circular_economy_principles</vt:lpstr>
      <vt:lpstr>template_b7_waste_generated</vt:lpstr>
      <vt:lpstr>template_b8_workforce_general_characteristics_country_of_employment</vt:lpstr>
      <vt:lpstr>template_b8_workforce_general_characteristics_gender</vt:lpstr>
      <vt:lpstr>template_b8_workforce_general_characteristics_turnover_rate</vt:lpstr>
      <vt:lpstr>template_b8_workforce_general_characteristics_type_of_contract</vt:lpstr>
      <vt:lpstr>template_b9_workforce_health_and_safety</vt:lpstr>
      <vt:lpstr>template_c1_strategy_business_model_and_sustainability</vt:lpstr>
      <vt:lpstr>template_c2_description_of_practices_policies_and_future_initiatives_for_transitioning_towards_a_more_sustainable_economy</vt:lpstr>
      <vt:lpstr>template_c3_disclosure_of_list_of_main_actions_the_entity_seeks_in_order_to_achieve_its_targets</vt:lpstr>
      <vt:lpstr>template_c3_GHG_reduction_targets_in_tC02e</vt:lpstr>
      <vt:lpstr>template_c3_transition_plan_for_undertakings_operating_in_high_climate_impact_sectors</vt:lpstr>
      <vt:lpstr>template_c4_climate_risks</vt:lpstr>
      <vt:lpstr>template_c5_additional_general_workforce_characteristics</vt:lpstr>
      <vt:lpstr>template_c6_additional_own_workforce_information_human_rights_policies_and_processes</vt:lpstr>
      <vt:lpstr>template_c7_severe_negative_human_rights_incidents</vt:lpstr>
      <vt:lpstr>template_c8_exclusion_from_EU_reference_benchmarks</vt:lpstr>
      <vt:lpstr>template_c8_revenues_from_certain_sectors</vt:lpstr>
      <vt:lpstr>template_c9_gender_diversity_ratio_in_the_governance_body</vt:lpstr>
      <vt:lpstr>template_currency</vt:lpstr>
      <vt:lpstr>template_disclosure_of_any_other_environmental_and_or_entity_specific_enviromental_disclosures</vt:lpstr>
      <vt:lpstr>template_disclosure_of_any_other_general_and_or_entity_specific_information_on_the_reporting_period</vt:lpstr>
      <vt:lpstr>template_disclosure_of_any_other_governance_and_or_entity_specific_governance_disclosures</vt:lpstr>
      <vt:lpstr>template_disclosure_of_any_other_social_and_or_entity_specific_social_disclosures</vt:lpstr>
      <vt:lpstr>template_ending_date_display</vt:lpstr>
      <vt:lpstr>template_FUEL_CONVERTER</vt:lpstr>
      <vt:lpstr>template_further_notes</vt:lpstr>
      <vt:lpstr>template_information_on_previous_reporting_period</vt:lpstr>
      <vt:lpstr>template_information_on_the_report_necessary_for_XBRL</vt:lpstr>
      <vt:lpstr>template_label_0_provide_information_that_is_mandatory_in_order_to_generate_the_vsme_and_xbrl_report</vt:lpstr>
      <vt:lpstr>template_label_1_fill_in_the_disclosures_on_the_four_worksheets</vt:lpstr>
      <vt:lpstr>template_label_1_in_cell_a9_select_the_fuel_used_searching_for_it_or_scrolling_down_the_list_displayed_clicking_the_cell</vt:lpstr>
      <vt:lpstr>template_label_1_in_the_cell_b5_of_the_table_related_to_the_unit_of_measurement_of_mass_converter</vt:lpstr>
      <vt:lpstr>template_label_1_percent_or_more_of_their_revenues_from_exploration_mining_extraction_distribution_or_refining_of_hard_coal_and_lignite</vt:lpstr>
      <vt:lpstr>template_label_1_purchased_goods_and_services</vt:lpstr>
      <vt:lpstr>template_label_10_further_notes_can_be_found_below</vt:lpstr>
      <vt:lpstr>template_label_10_percent_or_more_of_their_revenues_from_the_exploration_extraction_distribution_or_refining_of_oil_fuels</vt:lpstr>
      <vt:lpstr>template_label_10_processing_of_sold_products</vt:lpstr>
      <vt:lpstr>template_label_11_use_of_sold_products</vt:lpstr>
      <vt:lpstr>template_label_12_end_of_life_treatment_of_sold_products</vt:lpstr>
      <vt:lpstr>template_label_13_downstream_leased_assets</vt:lpstr>
      <vt:lpstr>template_label_14_franchises</vt:lpstr>
      <vt:lpstr>template_label_15_investments</vt:lpstr>
      <vt:lpstr>template_label_2_capital_goods</vt:lpstr>
      <vt:lpstr>template_label_2_find_more_information_on_the_actual_disclosure_requirements_in_the_vsme_standard</vt:lpstr>
      <vt:lpstr>template_label_2_in_cell_b9_select_the_unit_of_measurement_used</vt:lpstr>
      <vt:lpstr>template_label_2_then_in_the_cell_b6_the_amount_of_mass_can_be_inserted</vt:lpstr>
      <vt:lpstr>template_label_3_finally_in_the_cell_d5_there_should_be_the_unit_of_measurement_of_interest</vt:lpstr>
      <vt:lpstr>template_label_3_for_open_tables_like_the_list_of_subsidizers_sites_please_expand_the_groups_by_clicking_the_plus</vt:lpstr>
      <vt:lpstr>template_label_3_fuel__and_energy_related_activities</vt:lpstr>
      <vt:lpstr>template_label_3_in_cell_c9_select_the_amount_of_fuel_used</vt:lpstr>
      <vt:lpstr>template_label_4_in_cell_d9_it_is_displayed_the_state_of_matter_for_the_fuel_selected</vt:lpstr>
      <vt:lpstr>template_label_4_the_outcome_of_the_conversion_will_be_displayed_in_the_cell_d6</vt:lpstr>
      <vt:lpstr>template_label_4_upstream_transportation_and_distribution</vt:lpstr>
      <vt:lpstr>template_label_4_validate_the_data_entered_by_checking_the_validation_status</vt:lpstr>
      <vt:lpstr>template_label_5_convert_this_template_to_an_inline_xbrl_report</vt:lpstr>
      <vt:lpstr>template_label_5_in_cell_e9_it_is_displayed_the_typical_renewability_state_for_the_fuel_selected</vt:lpstr>
      <vt:lpstr>template_label_5_waste_generated_in_operations</vt:lpstr>
      <vt:lpstr>template_label_50_percent_or_more_of_their_revenues_from_electricity_generation</vt:lpstr>
      <vt:lpstr>template_label_50_percent_or_more_of_their_revenues_from_the_exploration_extraction_manufacturing_or_distribution_of_gaseous_fuels</vt:lpstr>
      <vt:lpstr>template_label_6_business_travel</vt:lpstr>
      <vt:lpstr>template_label_6_in_cell_f9_is_displayed_the_energy_produced_in_mega_watt_hours_by_the_amount_of_fuel_specified</vt:lpstr>
      <vt:lpstr>template_label_6_the_undertaking_may_also_upload_the_report_to_public_repositories_or_a_webpage</vt:lpstr>
      <vt:lpstr>template_label_7_employee_commuting</vt:lpstr>
      <vt:lpstr>template_label_7_in_cell_a28_is_displayed_the_total_energy_in_mega_watt_hours</vt:lpstr>
      <vt:lpstr>template_label_8_in_cell_a31_is_displayed_the_total_renewable_energy_in_mega_watt_hours</vt:lpstr>
      <vt:lpstr>template_label_8_upstream_leased_assets</vt:lpstr>
      <vt:lpstr>template_label_9_downstream_transportation_and_distribution</vt:lpstr>
      <vt:lpstr>template_label_9_in_cell_b31_is_displayed_the_total_nonrenewable_energy_in_mega_watt_hours</vt:lpstr>
      <vt:lpstr>template_label_accident_prevention</vt:lpstr>
      <vt:lpstr>template_label_additional_disclosures_validation</vt:lpstr>
      <vt:lpstr>template_label_additional_rows_warning</vt:lpstr>
      <vt:lpstr>template_label_additionally_users_are_encouraged_to_determine_the_renewability_status_of_each_fuel_based_on_guarantees_of_origin</vt:lpstr>
      <vt:lpstr>template_label_address</vt:lpstr>
      <vt:lpstr>template_label_affected_communities</vt:lpstr>
      <vt:lpstr>template_label_always_to_be_reported</vt:lpstr>
      <vt:lpstr>template_label_always_to_be_reported_if_applicable</vt:lpstr>
      <vt:lpstr>template_label_amount</vt:lpstr>
      <vt:lpstr>template_label_amount_in</vt:lpstr>
      <vt:lpstr>template_label_amount_of_water_withdrawn_at_sites_located_in_areas_of_high_water_stress</vt:lpstr>
      <vt:lpstr>template_label_annual_mass_flow_of_relevant_materials_used_validation</vt:lpstr>
      <vt:lpstr>template_label_area</vt:lpstr>
      <vt:lpstr>template_label_area_hectares_or_m2</vt:lpstr>
      <vt:lpstr>template_label_at</vt:lpstr>
      <vt:lpstr>template_label_automatic_geolocation</vt:lpstr>
      <vt:lpstr>template_label_average_gross_hourly_pay_level_of_female_employees</vt:lpstr>
      <vt:lpstr>template_label_average_gross_hourly_pay_level_of_male_employees</vt:lpstr>
      <vt:lpstr>template_label_average_number_of_annual_training_hours_per_employee</vt:lpstr>
      <vt:lpstr>template_label_b1_basis_for_preparation_and_other_undertakings_general_information</vt:lpstr>
      <vt:lpstr>template_label_b1_basis_for_preparation_validation</vt:lpstr>
      <vt:lpstr>template_label_b1_disclosure_of_sustainability_related_certification_or_label</vt:lpstr>
      <vt:lpstr>template_label_b1_list_of_site</vt:lpstr>
      <vt:lpstr>template_label_b1_list_of_subsidiaries</vt:lpstr>
      <vt:lpstr>template_label_b10_workforce_remuneration_collective_bargaining_and_training</vt:lpstr>
      <vt:lpstr>template_label_b10_workforce_remuneration_collective_bargaining_and_training_validation</vt:lpstr>
      <vt:lpstr>template_label_b11_convictions_and_fines_for_corruption_and_bribery</vt:lpstr>
      <vt:lpstr>template_label_b11_convictions_and_fines_for_corruption_and_bribery_validation</vt:lpstr>
      <vt:lpstr>template_label_b2_cooperative_specific_disclosures</vt:lpstr>
      <vt:lpstr>template_label_b2_practices_policies_and_future_initiatives_for_transitioning_towards_a_more_sustainable_economy</vt:lpstr>
      <vt:lpstr>template_label_b2_practices_policies_and_future_initiatives_for_transitioning_towards_a_more_sustainable_economy_validation</vt:lpstr>
      <vt:lpstr>template_label_b3_breakdown_of_energy_consumption</vt:lpstr>
      <vt:lpstr>template_label_b3_energy_and_greenhouse_gas_emissions_validation</vt:lpstr>
      <vt:lpstr>template_label_b3_estimated_greenhouse_gas_emissions</vt:lpstr>
      <vt:lpstr>template_label_b3_greenhouse_gas_emission_intensity_per_turnover</vt:lpstr>
      <vt:lpstr>template_label_b3_total_energy_consumption</vt:lpstr>
      <vt:lpstr>template_label_b4_pollution_of_air_water_and_soil</vt:lpstr>
      <vt:lpstr>template_label_b4_pollution_of_air_water_and_soil_validation</vt:lpstr>
      <vt:lpstr>template_label_b5_biodiversity_land_use</vt:lpstr>
      <vt:lpstr>template_label_b5_biodiversity_validation</vt:lpstr>
      <vt:lpstr>template_label_b5_sites_in_biodiversity_sensitive_areas</vt:lpstr>
      <vt:lpstr>template_label_b6_water_consumption</vt:lpstr>
      <vt:lpstr>template_label_b6_water_validation</vt:lpstr>
      <vt:lpstr>template_label_b6_water_withdrawal</vt:lpstr>
      <vt:lpstr>template_label_b7_annual_mass_flow_of_relevant_materials_used</vt:lpstr>
      <vt:lpstr>template_label_b7_description_of_circular_economy_principles</vt:lpstr>
      <vt:lpstr>template_label_b7_resource_use_circular_economy_and_waste_management_validation</vt:lpstr>
      <vt:lpstr>template_label_b7_waste_generated</vt:lpstr>
      <vt:lpstr>template_label_b8_workforce_general_characteristics_country_of_employment</vt:lpstr>
      <vt:lpstr>template_label_b8_workforce_general_characteristics_gender</vt:lpstr>
      <vt:lpstr>template_label_b8_workforce_general_characteristics_turnover_rate</vt:lpstr>
      <vt:lpstr>template_label_b8_workforce_general_characteristics_type_of_contract</vt:lpstr>
      <vt:lpstr>template_label_b8_workforce_general_characteristics_validation</vt:lpstr>
      <vt:lpstr>template_label_b9_workforce_health_and_safety</vt:lpstr>
      <vt:lpstr>template_label_b9_workforce_health_and_safety_validation</vt:lpstr>
      <vt:lpstr>template_label_base_year</vt:lpstr>
      <vt:lpstr>template_label_basic_module</vt:lpstr>
      <vt:lpstr>template_label_basic_module_validation</vt:lpstr>
      <vt:lpstr>template_label_basis_for_preparation</vt:lpstr>
      <vt:lpstr>template_label_basis_for_preparation_and_other_undertakings_general_information_validation</vt:lpstr>
      <vt:lpstr>template_label_basis_for_reporting</vt:lpstr>
      <vt:lpstr>template_label_below_are_specified_all_the_units_of_measurement_conversions_of_each_table</vt:lpstr>
      <vt:lpstr>template_label_biodiversity_and_ecosystems</vt:lpstr>
      <vt:lpstr>template_label_biodiversity_land_use_validation</vt:lpstr>
      <vt:lpstr>template_label_breakdown_of_energy_consumption_in_mwh_validation</vt:lpstr>
      <vt:lpstr>template_label_business_conduct</vt:lpstr>
      <vt:lpstr>template_label_c1_strategy_business_model_and_sustainability_related_initiatives</vt:lpstr>
      <vt:lpstr>template_label_c1_strategy_business_model_and_sustainability_related_initiatives_validation</vt:lpstr>
      <vt:lpstr>template_label_c2_description_of_practices_policies_and_future_initiatives_for_transitioning_towards_a_more_sustainable_economy</vt:lpstr>
      <vt:lpstr>template_label_c2_description_of_practices_policies_and_future_initiatives_for_transitioning_towards_a_more_sustainable_economy_validation</vt:lpstr>
      <vt:lpstr>template_label_c3_disclosure_of_list_of_main_actions_the_entity_seeks_in_order_to_achieve_its_targets</vt:lpstr>
      <vt:lpstr>template_label_c3_ghg_reduction_targets</vt:lpstr>
      <vt:lpstr>template_label_c3_ghg_reduction_targets_and_climate_transition_validation</vt:lpstr>
      <vt:lpstr>template_label_c3_transition_plan_for_undertakings_operating_in_high_climate_impact_sectors</vt:lpstr>
      <vt:lpstr>template_label_c4_climate_risks</vt:lpstr>
      <vt:lpstr>template_label_c4_climate_risks_validation</vt:lpstr>
      <vt:lpstr>template_label_c5_additional_general_workforce_characteristics_validation</vt:lpstr>
      <vt:lpstr>template_label_c5_additional_workforce_characteristics</vt:lpstr>
      <vt:lpstr>template_label_c6_additional_own_workforce_information_human_rights_policies_and_processes</vt:lpstr>
      <vt:lpstr>template_label_c6_additional_own_workforce_information_human_rights_policies_and_processes_validation</vt:lpstr>
      <vt:lpstr>template_label_c7_severe_negative_human_rights_incidents</vt:lpstr>
      <vt:lpstr>template_label_c7_severe_negative_human_rights_incidents_validation</vt:lpstr>
      <vt:lpstr>template_label_c8_exclusion_from_eu_reference_benchmarks</vt:lpstr>
      <vt:lpstr>template_label_c8_revenues_from_certain_sectors</vt:lpstr>
      <vt:lpstr>template_label_c8_revenues_from_certain_sectors_and_exclusion_from_eu_reference_benchmarks_validation</vt:lpstr>
      <vt:lpstr>template_label_c9_gender_diversity_ratio_in_the_governance_body</vt:lpstr>
      <vt:lpstr>template_label_c9_gender_diversity_ratio_in_the_governance_body_validation</vt:lpstr>
      <vt:lpstr>template_label_calculated_energy_in_mwh</vt:lpstr>
      <vt:lpstr>template_label_cell_background_color_index</vt:lpstr>
      <vt:lpstr>template_label_child_labour</vt:lpstr>
      <vt:lpstr>template_label_circular_economy</vt:lpstr>
      <vt:lpstr>template_label_city</vt:lpstr>
      <vt:lpstr>template_label_climate_change</vt:lpstr>
      <vt:lpstr>template_label_complete</vt:lpstr>
      <vt:lpstr>template_label_comprehensive_module</vt:lpstr>
      <vt:lpstr>template_label_comprehensive_module_validation</vt:lpstr>
      <vt:lpstr>template_label_consumers_and_endusers_validation</vt:lpstr>
      <vt:lpstr>template_label_contents_grouping_follows_templates_framework</vt:lpstr>
      <vt:lpstr>template_label_cooperative_specific_disclosures_validation</vt:lpstr>
      <vt:lpstr>template_label_country</vt:lpstr>
      <vt:lpstr>template_label_country_of_employment_contract</vt:lpstr>
      <vt:lpstr>template_label_country_of_employment_validation</vt:lpstr>
      <vt:lpstr>template_label_country_of_primary_operations_and_location_of_significant_asset</vt:lpstr>
      <vt:lpstr>template_label_cubic_meters</vt:lpstr>
      <vt:lpstr>template_label_currency_of_the_monetary_values_in_the_report</vt:lpstr>
      <vt:lpstr>template_label_current_reporting_period</vt:lpstr>
      <vt:lpstr>template_label_date_of_foreseen_adoption_of_transition_plan_for_undertaking_not_having_adopted_transition_plan_yet</vt:lpstr>
      <vt:lpstr>template_label_date_warning</vt:lpstr>
      <vt:lpstr>template_label_day</vt:lpstr>
      <vt:lpstr>template_label_decimal_separator_document_information</vt:lpstr>
      <vt:lpstr>template_label_description_of_a_practice_policy_and_or_future_initiative_towards_a_more_sustainable_future</vt:lpstr>
      <vt:lpstr>template_label_description_of_a_transition_plan_for_climate_change_mitigation</vt:lpstr>
      <vt:lpstr>template_label_description_of_actions_taken_to_address_the_confirmed_incidents</vt:lpstr>
      <vt:lpstr>template_label_description_of_circular_economy_principles_validation</vt:lpstr>
      <vt:lpstr>template_label_description_of_climate_related_hazards_and_climate_related_transition_events</vt:lpstr>
      <vt:lpstr>template_label_description_of_how_it_applies_these_principles</vt:lpstr>
      <vt:lpstr>template_label_description_of_main_business_relationships</vt:lpstr>
      <vt:lpstr>template_label_description_of_significant_groups_of_products_and_or_services_offered</vt:lpstr>
      <vt:lpstr>template_label_description_of_significant_market_the_undertaking_operates_in</vt:lpstr>
      <vt:lpstr>template_label_description_of_sustainability_related_certification_or_label</vt:lpstr>
      <vt:lpstr>template_label_description_of_target_related_to_a_policy</vt:lpstr>
      <vt:lpstr>template_label_description_of_those_key_elements_in_the_strategy_that_relate_or_affect_sustainability_issues</vt:lpstr>
      <vt:lpstr>template_label_disclaimer</vt:lpstr>
      <vt:lpstr>template_label_disclosure_of_any_other_environmental_and_or_entity_specific_environmental_disclosures</vt:lpstr>
      <vt:lpstr>template_label_disclosure_of_any_other_environmental_and_or_entity_specific_environmental_disclosures_validation</vt:lpstr>
      <vt:lpstr>template_label_disclosure_of_any_other_general_and_or_entity_specific_information_on_the_reporting_period</vt:lpstr>
      <vt:lpstr>template_label_disclosure_of_any_other_general_and_or_entity_specific_information_on_the_reporting_period_validation</vt:lpstr>
      <vt:lpstr>template_label_disclosure_of_any_other_governance_and_or_entity_specific_governance_disclosures</vt:lpstr>
      <vt:lpstr>template_label_disclosure_of_any_other_governance_and_or_entity_specific_governance_disclosures_validation</vt:lpstr>
      <vt:lpstr>template_label_disclosure_of_any_other_social_and_or_entity_specific_social_disclosures</vt:lpstr>
      <vt:lpstr>template_label_disclosure_of_any_other_social_and_or_entity_specific_social_disclosures_validation</vt:lpstr>
      <vt:lpstr>template_label_disclosure_of_how_it_has_assessed_the_exposure_and_sensitivity_of_its_assets</vt:lpstr>
      <vt:lpstr>template_label_disclosure_of_list_of_main_actions_the_entity_seeks_in_order_to_achieve_its_targets_validation</vt:lpstr>
      <vt:lpstr>template_label_disclosure_of_sustainability_related_certifications_or_labels_validation</vt:lpstr>
      <vt:lpstr>template_label_disclosure_of_whether_it_has_undertaken_climate_change_adaptation_actions</vt:lpstr>
      <vt:lpstr>template_label_disclosures_for_which_no_changes_are_reported_compared_to_the_previous_period_reporting</vt:lpstr>
      <vt:lpstr>template_label_disclosures_from_the_previous_reporting_period_that_remain_unchanged</vt:lpstr>
      <vt:lpstr>template_label_disclosures_related_to_reporting_period</vt:lpstr>
      <vt:lpstr>template_label_discrimination</vt:lpstr>
      <vt:lpstr>template_label_does_the_undertaking_have_a_code_of_conduct_or_human_rights_policy_for_its_own_workforce</vt:lpstr>
      <vt:lpstr>template_label_does_the_undertaking_have_a_complaint_handling_mechanism_for_its_own_workforce</vt:lpstr>
      <vt:lpstr>template_label_does_the_undertaking_have_a_governance_body_in_place</vt:lpstr>
      <vt:lpstr>template_label_does_the_undertaking_have_confirmed_incidents_in_its_own_workforce</vt:lpstr>
      <vt:lpstr>template_label_does_the_undertaking_have_production_processes_in_place_which_significantly_consume_water</vt:lpstr>
      <vt:lpstr>template_label_does_the_undertaking_have_sites_that_are_located_in_or_near_biodiversity_sensitive_areas</vt:lpstr>
      <vt:lpstr>template_label_does_the_undertaking_operate_in_a_sector_using_significant_material_flows</vt:lpstr>
      <vt:lpstr>template_label_effective_participation_of_workers_users_or_other_interested_parties_or_communities_in_governance</vt:lpstr>
      <vt:lpstr>template_label_efrag_is_funded_by_the_european_union_through_the_single_market_programme</vt:lpstr>
      <vt:lpstr>template_label_electricity</vt:lpstr>
      <vt:lpstr>template_label_emission_to_air</vt:lpstr>
      <vt:lpstr>template_label_emission_to_soil</vt:lpstr>
      <vt:lpstr>template_label_emission_to_water</vt:lpstr>
      <vt:lpstr>template_label_employee_counting_methodology_end_of_reporting_period_or_average_during_the_reporting_period</vt:lpstr>
      <vt:lpstr>template_label_employee_counting_methodology_for_the_disclosures_below_headcount_full_time_equivalent</vt:lpstr>
      <vt:lpstr>template_label_employee_counting_methodology_for_the_disclosures_below_period</vt:lpstr>
      <vt:lpstr>template_label_employee_counting_methodology_headcount_or_fulltime_equivalent</vt:lpstr>
      <vt:lpstr>template_label_employee_turnover_rate_in_the_reporting_period</vt:lpstr>
      <vt:lpstr>template_label_employees_receive_pay_that_is_equal_or_above_applicable_minimum_wage</vt:lpstr>
      <vt:lpstr>template_label_ending_day</vt:lpstr>
      <vt:lpstr>template_label_ending_month</vt:lpstr>
      <vt:lpstr>template_label_ending_year</vt:lpstr>
      <vt:lpstr>template_label_energy_consumption_per_hour_in_mwh_for_gaseous_fuels</vt:lpstr>
      <vt:lpstr>template_label_energy_consumption_per_hour_in_mwh_for_liquid_fuels</vt:lpstr>
      <vt:lpstr>template_label_energy_consumption_per_hour_in_mwh_for_solid_fuels</vt:lpstr>
      <vt:lpstr>template_label_energy_consumption_warning</vt:lpstr>
      <vt:lpstr>template_label_energy_gaseous_fuels</vt:lpstr>
      <vt:lpstr>template_label_energy_liquid_fuels</vt:lpstr>
      <vt:lpstr>template_label_energy_solid_fuels</vt:lpstr>
      <vt:lpstr>template_label_entity_identifier_document_information</vt:lpstr>
      <vt:lpstr>template_label_entity_identifier_scheme_document_information</vt:lpstr>
      <vt:lpstr>template_label_entity_name_document_information</vt:lpstr>
      <vt:lpstr>template_label_environmental_disclosures_validation</vt:lpstr>
      <vt:lpstr>template_label_error</vt:lpstr>
      <vt:lpstr>template_label_error_plus_missing_value</vt:lpstr>
      <vt:lpstr>template_label_error_plus_missing_value_plus_value_inconsistency</vt:lpstr>
      <vt:lpstr>template_label_error_plus_value_inconsistency</vt:lpstr>
      <vt:lpstr>template_label_estimated_greenhouse_gas_emissions_considering_the_ghg_protocol_version_2004_in_tco2e_validation</vt:lpstr>
      <vt:lpstr>template_label_exclusion_from_eu_reference_benchmarks_validation</vt:lpstr>
      <vt:lpstr>template_label_female</vt:lpstr>
      <vt:lpstr>template_label_female_to_male_ratio_at_management_level_for_the_reporting_period</vt:lpstr>
      <vt:lpstr>template_label_financial_investment_in_the_capital_or_assets_of_social_economy_entities</vt:lpstr>
      <vt:lpstr>template_label_forced_labour</vt:lpstr>
      <vt:lpstr>template_label_from</vt:lpstr>
      <vt:lpstr>template_label_from_capital_case</vt:lpstr>
      <vt:lpstr>template_label_fuel_converter</vt:lpstr>
      <vt:lpstr>template_label_fuel_type</vt:lpstr>
      <vt:lpstr>template_label_fuels</vt:lpstr>
      <vt:lpstr>template_label_further_notes</vt:lpstr>
      <vt:lpstr>template_label_gaseous_warning</vt:lpstr>
      <vt:lpstr>template_label_gender</vt:lpstr>
      <vt:lpstr>template_label_gender_diversity_ratio_in_governance_body</vt:lpstr>
      <vt:lpstr>template_label_gender_validation</vt:lpstr>
      <vt:lpstr>template_label_general_information_validation</vt:lpstr>
      <vt:lpstr>template_label_general_principles</vt:lpstr>
      <vt:lpstr>template_label_geolocalisation_warning</vt:lpstr>
      <vt:lpstr>template_label_GHG_calculator</vt:lpstr>
      <vt:lpstr>template_label_ghg_reduction_targets_in_tc02e_validation</vt:lpstr>
      <vt:lpstr>template_label_governance_disclosures_validation</vt:lpstr>
      <vt:lpstr>template_label_gps_coordinates</vt:lpstr>
      <vt:lpstr>template_label_greenhouse_gas_emission_intensity_per_turnover_validation</vt:lpstr>
      <vt:lpstr>template_label_gross_scope_1_ghg_emissions</vt:lpstr>
      <vt:lpstr>template_label_gross_scope_2_location_based_ghg_emissions</vt:lpstr>
      <vt:lpstr>template_label_gross_scope_2_market_based_ghg_emissions</vt:lpstr>
      <vt:lpstr>template_label_has_the_strategy_key_elements_that_relate_to_or_affect_sustainability_issues</vt:lpstr>
      <vt:lpstr>template_label_has_the_undertaking_has_established_ghg_emission_reduction_targets</vt:lpstr>
      <vt:lpstr>template_label_has_the_undertaking_identified_climate_related_hazards_and_climate_related_transition_events</vt:lpstr>
      <vt:lpstr>template_label_has_the_undertaking_incurred_in_convictions_and_fines_in_the_reporting_period</vt:lpstr>
      <vt:lpstr>template_label_has_the_undertaking_obtained_any_sustainability_related_certification_or_label</vt:lpstr>
      <vt:lpstr>template_label_has_the_undertaking_obtained_the_necessary_information_to_provide_an_energy_consumption_breakdown</vt:lpstr>
      <vt:lpstr>template_label_has_the_undertaking_put_in_place_specific_practices_policies_and_or_future</vt:lpstr>
      <vt:lpstr>template_label_health_and_safety_formula_warning</vt:lpstr>
      <vt:lpstr>template_label_how_to_use_it</vt:lpstr>
      <vt:lpstr>template_label_human_trafficking</vt:lpstr>
      <vt:lpstr>template_label_id</vt:lpstr>
      <vt:lpstr>template_label_identifier_of_the_reporting_entity</vt:lpstr>
      <vt:lpstr>template_label_identifier_warning</vt:lpstr>
      <vt:lpstr>template_label_if_applicable</vt:lpstr>
      <vt:lpstr>template_label_if_applicable_linked_to_b2</vt:lpstr>
      <vt:lpstr>template_label_if_yes_are_incidents_related_to</vt:lpstr>
      <vt:lpstr>template_label_if_yes_does_this_cover</vt:lpstr>
      <vt:lpstr>template_label_incomplete</vt:lpstr>
      <vt:lpstr>template_label_indicates_that_data_entry_is_ok_and_the_undertaking_can_proceed_to_the_next_disclosure</vt:lpstr>
      <vt:lpstr>template_label_indicates_that_either_data_entry_is_incorrect_in_terms_of_format_or_that_certain_information</vt:lpstr>
      <vt:lpstr>template_label_indicates_that_no_data_entry_is_required_unless_certain_logics_are_selected_in_the_disclosure_itself</vt:lpstr>
      <vt:lpstr>template_label_indicates_that_the_cell_is_automatically_calculated_and_that_no_data_entry_is_required</vt:lpstr>
      <vt:lpstr>template_label_indicates_that_the_cell_should_be_filled_either_by_selecting_a_value_from_the_dropdown</vt:lpstr>
      <vt:lpstr>template_label_indicates_that_the_datapoint_often_a_condition_will_not_be_included_in_the_vsme_and_digital_xbrl_report</vt:lpstr>
      <vt:lpstr>template_label_indicates_that_the_disclosure_is_from_the_general_principles_of_the_vsme</vt:lpstr>
      <vt:lpstr>template_label_indicates_that_the_disclosure_is_from_the_vsme_basic_module</vt:lpstr>
      <vt:lpstr>template_label_indicates_that_the_disclosure_is_from_the_vsme_comprehensive_module</vt:lpstr>
      <vt:lpstr>template_label_information_on_previous_reporting_period</vt:lpstr>
      <vt:lpstr>template_label_information_on_previous_reporting_period_validation</vt:lpstr>
      <vt:lpstr>template_label_information_on_the_report_necessary_for_xbrl</vt:lpstr>
      <vt:lpstr>template_label_information_on_the_report_necessary_for_xbrl_validation</vt:lpstr>
      <vt:lpstr>template_label_invalid_url</vt:lpstr>
      <vt:lpstr>template_label_is_the_undertaking_aware_of_any_confirmed_incidents_involving_workers</vt:lpstr>
      <vt:lpstr>template_label_is_the_undertaking_deriving_revenues_from_one_of_the_activities_listed_below</vt:lpstr>
      <vt:lpstr>template_label_is_the_undertaking_disclosing_entity_specific_information_on_scope_3_emissions</vt:lpstr>
      <vt:lpstr>template_label_is_the_undertaking_operating_in_high_impact_sectors</vt:lpstr>
      <vt:lpstr>template_label_is_this_disclosure_already_publicly_available</vt:lpstr>
      <vt:lpstr>template_label_kilograms</vt:lpstr>
      <vt:lpstr>template_label_land_use_type</vt:lpstr>
      <vt:lpstr>template_label_limits_to_the_distribution_of_profits</vt:lpstr>
      <vt:lpstr>template_label_link_to_previous_report_containing_disclosures_that_remain_unchanged</vt:lpstr>
      <vt:lpstr>template_label_liquid_warning</vt:lpstr>
      <vt:lpstr>template_label_list_of_omitted_disclosures_deemed_to_be_classified_or_sensitive_information</vt:lpstr>
      <vt:lpstr>template_label_list_of_sites_validation</vt:lpstr>
      <vt:lpstr>template_label_list_of_subsidiaries_validation</vt:lpstr>
      <vt:lpstr>template_label_lists_can_be_expanded_using_the_plus_button_on_the_left</vt:lpstr>
      <vt:lpstr>template_label_main_title_of_report_text</vt:lpstr>
      <vt:lpstr>template_label_male</vt:lpstr>
      <vt:lpstr>template_label_mass_gaseous_fuels</vt:lpstr>
      <vt:lpstr>template_label_mass_liquid_fuels</vt:lpstr>
      <vt:lpstr>template_label_mass_volume</vt:lpstr>
      <vt:lpstr>template_label_may</vt:lpstr>
      <vt:lpstr>template_label_may_not_headline</vt:lpstr>
      <vt:lpstr>template_label_missing_value</vt:lpstr>
      <vt:lpstr>template_label_missing_value_plus_value_inconsistency</vt:lpstr>
      <vt:lpstr>template_label_monetary_amount_in</vt:lpstr>
      <vt:lpstr>template_label_month</vt:lpstr>
      <vt:lpstr>template_label_most_senior_level_accountable_for_implementing_practices_policies_and_or_future_initiatives</vt:lpstr>
      <vt:lpstr>template_label_nace_sector_classification_code</vt:lpstr>
      <vt:lpstr>template_label_NACE_warning</vt:lpstr>
      <vt:lpstr>template_label_name</vt:lpstr>
      <vt:lpstr>template_label_name_of_the_key_material</vt:lpstr>
      <vt:lpstr>template_label_name_of_the_reporting_entity</vt:lpstr>
      <vt:lpstr>template_label_no_value_can_be_entered_in_the_cell</vt:lpstr>
      <vt:lpstr>template_label_non_renewable</vt:lpstr>
      <vt:lpstr>template_label_none_of_the_above</vt:lpstr>
      <vt:lpstr>template_label_not_reported</vt:lpstr>
      <vt:lpstr>template_label_number_of_annual_training_hours_per_employee_during_the_reporting_period</vt:lpstr>
      <vt:lpstr>template_label_number_of_employees</vt:lpstr>
      <vt:lpstr>template_label_number_of_employees_at_the_beginning_of_the_reporting_period</vt:lpstr>
      <vt:lpstr>template_label_number_of_employees_at_the_end_of_the_reporting_period</vt:lpstr>
      <vt:lpstr>template_label_number_of_employees_covered_by_collective_bargaining_agreements</vt:lpstr>
      <vt:lpstr>template_label_number_of_employees_warning</vt:lpstr>
      <vt:lpstr>template_label_number_of_employees_who_left_during_the_reporting_period</vt:lpstr>
      <vt:lpstr>template_label_number_of_fatalities_as_a_result_of_work_related_injuries_and_work_related_ill_health</vt:lpstr>
      <vt:lpstr>template_label_number_of_female_board_members_at_the_end_of_the_reporting_period</vt:lpstr>
      <vt:lpstr>template_label_number_of_female_employees_at_management_level</vt:lpstr>
      <vt:lpstr>template_label_number_of_hours_worked_by_one_fulltime_employee_in_the_reporting_period</vt:lpstr>
      <vt:lpstr>template_label_number_of_male_board_members_at_the_end_of_the_reporting_period</vt:lpstr>
      <vt:lpstr>template_label_number_of_male_employees_at_management_level</vt:lpstr>
      <vt:lpstr>template_label_number_of_recordable_work_related_accidents_in_the_reporting_period</vt:lpstr>
      <vt:lpstr>template_label_ok</vt:lpstr>
      <vt:lpstr>template_label_other</vt:lpstr>
      <vt:lpstr>template_label_other_if_yes_specify</vt:lpstr>
      <vt:lpstr>template_label_other_undertakings_legal_form_specification</vt:lpstr>
      <vt:lpstr>template_label_other_warning</vt:lpstr>
      <vt:lpstr>template_label_overall_validation_status_validation</vt:lpstr>
      <vt:lpstr>template_label_own_workforce</vt:lpstr>
      <vt:lpstr>template_label_paragraph_guidance_reference</vt:lpstr>
      <vt:lpstr>template_label_paragraph_reference</vt:lpstr>
      <vt:lpstr>template_label_percentage_gap_in_pay_between_the__undertakings_female_and_male_employees</vt:lpstr>
      <vt:lpstr>template_label_percentage_of_employees_covered_by_collective_bargaining_agreements</vt:lpstr>
      <vt:lpstr>template_label_percentage_reduction_from_base_year</vt:lpstr>
      <vt:lpstr>template_label_permanent_contract</vt:lpstr>
      <vt:lpstr>template_label_please_note_that_the_typical_values_for_net_calorific_value_and_density_are_provided_for_each_fuel_type</vt:lpstr>
      <vt:lpstr>template_label_please_provide_the_relevant_url_link_or_hyperlink_of_where_this_information_is_reported</vt:lpstr>
      <vt:lpstr>template_label_please_select_the_unit_used_for_reporting_the_amount</vt:lpstr>
      <vt:lpstr>template_label_please_select_the_unit_used_for_the_area</vt:lpstr>
      <vt:lpstr>template_label_pollutant</vt:lpstr>
      <vt:lpstr>template_label_pollution</vt:lpstr>
      <vt:lpstr>template_label_postal_code</vt:lpstr>
      <vt:lpstr>template_label_potential_adverse_effects_of_climate_risks</vt:lpstr>
      <vt:lpstr>template_label_practices_policies_and_future_initiatives_for_transitioning_towards_a_more_sustainable_economy_validation</vt:lpstr>
      <vt:lpstr>template_label_publication_date</vt:lpstr>
      <vt:lpstr>template_label_rate_of_recordable_work_related_accidents_in_the_reporting_period</vt:lpstr>
      <vt:lpstr>template_label_registered_address</vt:lpstr>
      <vt:lpstr>template_label_related_site_id</vt:lpstr>
      <vt:lpstr>template_label_renewable</vt:lpstr>
      <vt:lpstr>template_label_report_currency_document_information</vt:lpstr>
      <vt:lpstr>template_label_report_generated</vt:lpstr>
      <vt:lpstr>template_label_report_period_document_information</vt:lpstr>
      <vt:lpstr>template_label_reporting_period</vt:lpstr>
      <vt:lpstr>template_label_reporting_period_end_date</vt:lpstr>
      <vt:lpstr>template_label_reporting_period_start_date</vt:lpstr>
      <vt:lpstr>template_label_reproduction_and_use_rights_are_strictly_limited</vt:lpstr>
      <vt:lpstr>template_label_required_by_law_or_other_national_regulations_to_report_to_competent_authorities_its_emissions_of_pollutants</vt:lpstr>
      <vt:lpstr>template_label_revenue_derived_from_chemicals_production</vt:lpstr>
      <vt:lpstr>template_label_revenue_derived_from_coal</vt:lpstr>
      <vt:lpstr>template_label_revenue_derived_from_controversial_weapons</vt:lpstr>
      <vt:lpstr>template_label_revenue_derived_from_cultivation_and_production_of_tobacco</vt:lpstr>
      <vt:lpstr>template_label_revenue_derived_from_gas</vt:lpstr>
      <vt:lpstr>template_label_revenue_derived_from_oil</vt:lpstr>
      <vt:lpstr>template_label_revenues_from_certain_sectors_validation</vt:lpstr>
      <vt:lpstr>template_label_row_id</vt:lpstr>
      <vt:lpstr>template_label_scope_1_and_scope_2_ghg_emissions_intensity_location_based</vt:lpstr>
      <vt:lpstr>template_label_scope_1_and_scope_2_ghg_emissions_intensity_market_based</vt:lpstr>
      <vt:lpstr>template_label_scope_3_categories_warning</vt:lpstr>
      <vt:lpstr>template_label_select_template_display_language</vt:lpstr>
      <vt:lpstr>template_label_selfgenerated_electricity</vt:lpstr>
      <vt:lpstr>template_label_site_ID_value_inconsistency_warning</vt:lpstr>
      <vt:lpstr>template_label_site_located_in_a_biodiversity_sensitive_area</vt:lpstr>
      <vt:lpstr>template_label_site_located_near_a_biodiversity_sensitive_area</vt:lpstr>
      <vt:lpstr>template_label_site_location_in_near_a_biodiversity_area</vt:lpstr>
      <vt:lpstr>template_label_sites_in_biodiversity_sensitive_areas_validation</vt:lpstr>
      <vt:lpstr>template_label_size_of_balance_sheet_in</vt:lpstr>
      <vt:lpstr>template_label_social_disclosures_validation</vt:lpstr>
      <vt:lpstr>template_label_solid_warning</vt:lpstr>
      <vt:lpstr>template_label_specific_content_validation_status_validation</vt:lpstr>
      <vt:lpstr>template_label_specification_of_any_confirmed_incident_involving_workers</vt:lpstr>
      <vt:lpstr>template_label_specify_other_human_rights_related_to_the_confirmed_incidents</vt:lpstr>
      <vt:lpstr>template_label_specify_other_types_of_content_covered_by_the_code_of_conduct_or_human_rights_policy</vt:lpstr>
      <vt:lpstr>template_label_starting_day</vt:lpstr>
      <vt:lpstr>template_label_starting_month</vt:lpstr>
      <vt:lpstr>template_label_starting_year</vt:lpstr>
      <vt:lpstr>template_label_state_of_matter</vt:lpstr>
      <vt:lpstr>template_label_status_of_implementation_of_a_transition_plan_in_relation_to_climate_change_mitigation</vt:lpstr>
      <vt:lpstr>template_label_steps_to_follow_for_the_mass_table</vt:lpstr>
      <vt:lpstr>template_label_subtitle_of_report</vt:lpstr>
      <vt:lpstr>template_label_subtitle_of_report_text</vt:lpstr>
      <vt:lpstr>template_label_sustainability_issues_addressed_by_a_practice_policy_and_or_future_initiatives_put_in_place</vt:lpstr>
      <vt:lpstr>template_label_table_of_contents</vt:lpstr>
      <vt:lpstr>template_label_table_of_contents_validation</vt:lpstr>
      <vt:lpstr>template_label_target_year</vt:lpstr>
      <vt:lpstr>template_label_taxonomy_entry_point</vt:lpstr>
      <vt:lpstr>template_label_temporary_contract</vt:lpstr>
      <vt:lpstr>template_label_the_converter_offers_the_possibility_of_calculating_simultaneously_up_to_10_different_types_of_fuel</vt:lpstr>
      <vt:lpstr>template_label_the_purpose_of_this_digital_template_is_to_illustrate_how_vsme_reporting_can_be_implemented_in_a_digital_template</vt:lpstr>
      <vt:lpstr>template_label_the_steps_to_follow_for_the_other_tables</vt:lpstr>
      <vt:lpstr>template_label_this_converter_is_intended_solely_to_illustrate_how_energy_consumption_in_mwh</vt:lpstr>
      <vt:lpstr>template_label_time_horizons_of_any_climate_related_hazards_and_transition_events_identified</vt:lpstr>
      <vt:lpstr>template_label_title_of_report</vt:lpstr>
      <vt:lpstr>template_label_to</vt:lpstr>
      <vt:lpstr>template_label_total_amount_of_fines_for_the_violation_of_anti_corruption_and_anti_bribery_laws</vt:lpstr>
      <vt:lpstr>template_label_total_amount_of_waste_generated</vt:lpstr>
      <vt:lpstr>template_label_total_amount_of_water_withdrawn_from_all_sites</vt:lpstr>
      <vt:lpstr>template_label_total_annual_mass_flow_of_relevant_materials_used_mass</vt:lpstr>
      <vt:lpstr>template_label_total_annual_mass_flow_of_relevant_materials_used_volume</vt:lpstr>
      <vt:lpstr>template_label_total_employees</vt:lpstr>
      <vt:lpstr>template_label_total_energy</vt:lpstr>
      <vt:lpstr>template_label_total_energy_consumption</vt:lpstr>
      <vt:lpstr>template_label_total_energy_consumption_in_mwh_validation</vt:lpstr>
      <vt:lpstr>template_label_total_hazardous_waste_generated_mass</vt:lpstr>
      <vt:lpstr>template_label_total_hazardous_waste_generated_volume</vt:lpstr>
      <vt:lpstr>template_label_total_nature_oriented_area_off_site</vt:lpstr>
      <vt:lpstr>template_label_total_nature_oriented_area_on_site</vt:lpstr>
      <vt:lpstr>template_label_total_non_hazardous_waste_generated_mass</vt:lpstr>
      <vt:lpstr>template_label_total_non_hazardous_waste_generated_volume</vt:lpstr>
      <vt:lpstr>template_label_total_nonrenewable_energy</vt:lpstr>
      <vt:lpstr>template_label_total_number_of_convictions_for_the_violation_of_anti_corruption_and_anti_bribery_laws</vt:lpstr>
      <vt:lpstr>template_label_total_number_of_hours_worked_in_a_year_by_all_employees_in_the_reporting_period</vt:lpstr>
      <vt:lpstr>template_label_total_renewable_and_nonrenewable</vt:lpstr>
      <vt:lpstr>template_label_total_renewable_energy</vt:lpstr>
      <vt:lpstr>template_label_total_revenues_derived_from_fossil_fuel_sector</vt:lpstr>
      <vt:lpstr>template_label_total_scope_1_and_scope_2_ghg_emissions_location_based</vt:lpstr>
      <vt:lpstr>template_label_total_scope_1_and_scope_2_ghg_emissions_market_based</vt:lpstr>
      <vt:lpstr>template_label_total_scope_1_scope_2_and_scope_3_ghg_emissions_intensity_location_based</vt:lpstr>
      <vt:lpstr>template_label_total_scope_1_scope_2_and_scope_3_ghg_emissions_intensity_market_based</vt:lpstr>
      <vt:lpstr>template_label_total_scope_1_scope_2_and_scope_3_ghg_emissions_location_based</vt:lpstr>
      <vt:lpstr>template_label_total_scope_1_scope_2_and_scope_3_ghg_emissions_market_based</vt:lpstr>
      <vt:lpstr>template_label_total_scope_3_ghg_emissions</vt:lpstr>
      <vt:lpstr>template_label_total_sealed_area</vt:lpstr>
      <vt:lpstr>template_label_total_self_employed_workers_without_personnel_that_are_working_exclusively_for_the_undertaking</vt:lpstr>
      <vt:lpstr>template_label_total_temporary_workers_provided_by_undertakings_primarily_engaged_in_employment_activities</vt:lpstr>
      <vt:lpstr>template_label_total_use_of_land</vt:lpstr>
      <vt:lpstr>template_label_total_waste_generated_mass</vt:lpstr>
      <vt:lpstr>template_label_total_waste_generated_volume</vt:lpstr>
      <vt:lpstr>template_label_total_waste_recycled_reused_and_directed_to_disposal</vt:lpstr>
      <vt:lpstr>template_label_total_water_consumption</vt:lpstr>
      <vt:lpstr>template_label_transfer_the_total_results_to_the_b3_fuel_energy_consumption_reporting_cell</vt:lpstr>
      <vt:lpstr>template_label_transition_plan_for_undertakings_operating_in_high_climate_impact_sectors_validation</vt:lpstr>
      <vt:lpstr>template_label_turnover_in</vt:lpstr>
      <vt:lpstr>template_label_turnover_rate_validation</vt:lpstr>
      <vt:lpstr>template_label_type_of_contract</vt:lpstr>
      <vt:lpstr>template_label_type_of_contract_validation</vt:lpstr>
      <vt:lpstr>template_label_type_of_waste</vt:lpstr>
      <vt:lpstr>template_label_type_of_waste_warning</vt:lpstr>
      <vt:lpstr>template_label_typical_renewable_state</vt:lpstr>
      <vt:lpstr>template_label_undertaking_applies_circular_economy_principles</vt:lpstr>
      <vt:lpstr>template_label_undertaking_has_a_practice_policy_and_or_future_initiative_that_is_publicly_available</vt:lpstr>
      <vt:lpstr>template_label_undertaking_has_set_a_target_which_is_related_to_a_policy</vt:lpstr>
      <vt:lpstr>template_label_undertaking_operating_in_more_than_one_country</vt:lpstr>
      <vt:lpstr>template_label_undertakings_are_excluded_from_any_eu_reference_benchmarks_that_are_aligned_with_the_paris_agreement</vt:lpstr>
      <vt:lpstr>template_label_undertakings_are_excluded_from_the_eu_paris_aligned_benchmarks_if_they_derive</vt:lpstr>
      <vt:lpstr>template_label_undertakings_legal_form</vt:lpstr>
      <vt:lpstr>template_label_unit_of_measurement</vt:lpstr>
      <vt:lpstr>template_label_unit_of_measurement_converter</vt:lpstr>
      <vt:lpstr>template_label_unit_of_measurement_of_density_converter</vt:lpstr>
      <vt:lpstr>template_label_unit_of_measurement_of_density_converter_list</vt:lpstr>
      <vt:lpstr>template_label_unit_of_measurement_of_energy_consumption_per_hour</vt:lpstr>
      <vt:lpstr>template_label_unit_of_measurement_of_energy_converter_list</vt:lpstr>
      <vt:lpstr>template_label_unit_of_measurement_of_mass_converter</vt:lpstr>
      <vt:lpstr>template_label_unit_of_measurement_of_mass_converter_list</vt:lpstr>
      <vt:lpstr>template_label_unit_of_measurement_of_ncv_converter</vt:lpstr>
      <vt:lpstr>template_label_unit_of_measurement_of_ncv_converter_list</vt:lpstr>
      <vt:lpstr>template_label_unit_of_measurement_of_volume_converter</vt:lpstr>
      <vt:lpstr>template_label_unit_of_measurement_of_volume_converter_list</vt:lpstr>
      <vt:lpstr>template_label_usage_of_fuel_converter</vt:lpstr>
      <vt:lpstr>template_label_usage_of_unit_of_measurement_converter</vt:lpstr>
      <vt:lpstr>template_label_validation_missing_value_error_velue_inconsistency_invalid_url</vt:lpstr>
      <vt:lpstr>template_label_validation_ok</vt:lpstr>
      <vt:lpstr>template_label_value_inconsistency</vt:lpstr>
      <vt:lpstr>template_label_version</vt:lpstr>
      <vt:lpstr>template_label_vsme_digital_template</vt:lpstr>
      <vt:lpstr>template_label_waste_directed_to_disposal</vt:lpstr>
      <vt:lpstr>template_label_waste_diverted_to_recycle_or_reuse</vt:lpstr>
      <vt:lpstr>template_label_waste_generated_validation</vt:lpstr>
      <vt:lpstr>template_label_water_and_marine_resources</vt:lpstr>
      <vt:lpstr>template_label_water_consumption_validation</vt:lpstr>
      <vt:lpstr>template_label_water_discharge_from_undertaking_production_processes</vt:lpstr>
      <vt:lpstr>template_label_water_withdrawal_validation</vt:lpstr>
      <vt:lpstr>template_label_workers_in_the_value_chain</vt:lpstr>
      <vt:lpstr>template_label_XBRL_facts_in_report</vt:lpstr>
      <vt:lpstr>template_label_year</vt:lpstr>
      <vt:lpstr>template_label_year_date</vt:lpstr>
      <vt:lpstr>template_overall_validation_status</vt:lpstr>
      <vt:lpstr>template_reporting_entity_identifier</vt:lpstr>
      <vt:lpstr>template_reporting_entity_identifier_scheme</vt:lpstr>
      <vt:lpstr>template_reporting_entity_name</vt:lpstr>
      <vt:lpstr>template_reporting_period_display</vt:lpstr>
      <vt:lpstr>template_reporting_period_enddate</vt:lpstr>
      <vt:lpstr>template_reporting_period_startdate</vt:lpstr>
      <vt:lpstr>template_reporting_schemaRef</vt:lpstr>
      <vt:lpstr>template_reporting_subtitle</vt:lpstr>
      <vt:lpstr>template_reporting_template_version</vt:lpstr>
      <vt:lpstr>template_reporting_title</vt:lpstr>
      <vt:lpstr>template_selected_display_language</vt:lpstr>
      <vt:lpstr>template_starting_date_display</vt:lpstr>
      <vt:lpstr>template_translations</vt:lpstr>
      <vt:lpstr>TimeHorizonsOfAnyClimateRelatedHazardsAndTransitionEventsIdentified</vt:lpstr>
      <vt:lpstr>TotalAmountOfFinesForTheViolationOfAnticorruptionAndAntibriberyLaws</vt:lpstr>
      <vt:lpstr>TotalAmountOfWaterWithdrawnFromAllSites</vt:lpstr>
      <vt:lpstr>TotalEnergyConsumption</vt:lpstr>
      <vt:lpstr>TotalGrossLocationBasedGHGEmissions_BaselineYearMember</vt:lpstr>
      <vt:lpstr>TotalGrossLocationBasedGHGEmissions_CurrentlyStatedMember</vt:lpstr>
      <vt:lpstr>TotalGrossLocationBasedGHGEmissions_TargetYearMember</vt:lpstr>
      <vt:lpstr>TotalGrossLocationBasedScope1AndScope2GHGEmissions</vt:lpstr>
      <vt:lpstr>TotalGrossLocationBasedScope1AndScope2GHGEmissions_BaselineYearMember</vt:lpstr>
      <vt:lpstr>TotalGrossLocationBasedScope1AndScope2GHGEmissions_TargetYearMember</vt:lpstr>
      <vt:lpstr>TotalGrossMarketBasedGHGEmissions_BaselineYearMember</vt:lpstr>
      <vt:lpstr>TotalGrossMarketBasedGHGEmissions_CurrentlyStatedMember</vt:lpstr>
      <vt:lpstr>TotalGrossMarketBasedGHGEmissions_TargetYearMember</vt:lpstr>
      <vt:lpstr>TotalGrossMarketBasedScope1AndScope2GHGEmissions</vt:lpstr>
      <vt:lpstr>TotalGrossMarketBasedScope1AndScope2GHGEmissions_BaselineYearMember</vt:lpstr>
      <vt:lpstr>TotalGrossMarketBasedScope1AndScope2GHGEmissions_TargetYearMember</vt:lpstr>
      <vt:lpstr>TotalHazardousWasteGeneratedMass</vt:lpstr>
      <vt:lpstr>TotalHazardousWasteGeneratedMass_unit</vt:lpstr>
      <vt:lpstr>TotalHazardousWasteGeneratedVolume</vt:lpstr>
      <vt:lpstr>TotalHazardousWasteGeneratedVolume_unit</vt:lpstr>
      <vt:lpstr>TotalLocationBasedGreenhouseGasEmissionsIntensityValue</vt:lpstr>
      <vt:lpstr>TotalMarketBasedGreenhouseGasEmissionsIntensityValue</vt:lpstr>
      <vt:lpstr>TotalMassOfMaterialUsed</vt:lpstr>
      <vt:lpstr>TotalMassOfMaterialUsed_unit</vt:lpstr>
      <vt:lpstr>TotalNatureOrientedAreaOffSite</vt:lpstr>
      <vt:lpstr>TotalNatureOrientedAreaOffSite_unit</vt:lpstr>
      <vt:lpstr>TotalNatureOrientedAreaOnSite</vt:lpstr>
      <vt:lpstr>TotalNatureOrientedAreaOnSite_unit</vt:lpstr>
      <vt:lpstr>TotalNonHazardousWasteGeneratedMass</vt:lpstr>
      <vt:lpstr>TotalNonHazardousWasteGeneratedMass_unit</vt:lpstr>
      <vt:lpstr>TotalNonHazardousWasteGeneratedVolume</vt:lpstr>
      <vt:lpstr>TotalNonHazardousWasteGeneratedVolume_unit</vt:lpstr>
      <vt:lpstr>TotalNumberOfConvictionsForTheViolationOfAntiCorruptionAndAntiBriberyLaws</vt:lpstr>
      <vt:lpstr>TotalNumberOfSelfEmployedWorkersWithoutPersonnelThatAreWorkingExclusivelyForTheUndertaking</vt:lpstr>
      <vt:lpstr>TotalNumberOfTemporaryWorkersProvidedByUndertakingsPrimarilyEngagedInEmploymentActivities</vt:lpstr>
      <vt:lpstr>TotalRevenuesDerivedFromFossilFuelCoalOilAndGasSector</vt:lpstr>
      <vt:lpstr>TotalSealedArea</vt:lpstr>
      <vt:lpstr>TotalSealedArea_unit</vt:lpstr>
      <vt:lpstr>TotalUseOfLand</vt:lpstr>
      <vt:lpstr>TotalUseOfLand_unit</vt:lpstr>
      <vt:lpstr>TotalVolumeOfMaterialUsed</vt:lpstr>
      <vt:lpstr>TotalVolumeOfMaterialUsed_unit</vt:lpstr>
      <vt:lpstr>TotalWasteGeneratedMass</vt:lpstr>
      <vt:lpstr>TotalWasteGeneratedMass_unit</vt:lpstr>
      <vt:lpstr>TotalWasteGeneratedVolume</vt:lpstr>
      <vt:lpstr>TotalWasteGeneratedVolume_unit</vt:lpstr>
      <vt:lpstr>TotalWasteRecycledReusedAndDirectedToDisposalMass</vt:lpstr>
      <vt:lpstr>TotalWasteRecycledReusedAndDirectedToDisposalMass_unit</vt:lpstr>
      <vt:lpstr>TotalWasteRecycledReusedAndDirectedToDisposalVolume</vt:lpstr>
      <vt:lpstr>TotalWasteRecycledReusedAndDirectedToDisposalVolume_unit</vt:lpstr>
      <vt:lpstr>TotalWaterConsumption</vt:lpstr>
      <vt:lpstr>Turnover</vt:lpstr>
      <vt:lpstr>TypeOfContentCoveredByTheCodeOfConductOrHumanRightsPolicyForItsOwnWorkforce</vt:lpstr>
      <vt:lpstr>TypeOfHumanRightRelatedToTheConfirmedIncident</vt:lpstr>
      <vt:lpstr>TypeOfNumberOfEmployees</vt:lpstr>
      <vt:lpstr>TypeOfPollutantAxis</vt:lpstr>
      <vt:lpstr>TypeOfWasteAxis</vt:lpstr>
      <vt:lpstr>UndertakingAppliesCircularEconomyPrinciples</vt:lpstr>
      <vt:lpstr>UndertakingHasACodeOfConductOrHumanRightsPolicyForItsOwnWorkforce</vt:lpstr>
      <vt:lpstr>UndertakingHasAComplaintHandlingMechanismForItsOwnWorkforce</vt:lpstr>
      <vt:lpstr>UndertakingHasConfirmedHumanRightsIncidentsInItsOwnWorkforce</vt:lpstr>
      <vt:lpstr>UndertakingHasSetATargetWhichIsRelatedToAPolicy</vt:lpstr>
      <vt:lpstr>UndertakingIsAwareOfAnyConfirmedIncidentsInvolvingWorkersInTheValueChainAffectedCommunitiesConsumersAndEndUsers</vt:lpstr>
      <vt:lpstr>UndertakingsAreExcludedFromAnyEuReferenceBenchmarksThatAreAlignedWithTheParisAgreement</vt:lpstr>
      <vt:lpstr>UndertakingsLegalForm</vt:lpstr>
      <vt:lpstr>URLOrLinkToThePubliclyAvailableDisclosure</vt:lpstr>
      <vt:lpstr>VolumeOfMaterialUsed</vt:lpstr>
      <vt:lpstr>VolumeOfMaterialUsed_unit</vt:lpstr>
      <vt:lpstr>WasteDirectedToDisposalMass</vt:lpstr>
      <vt:lpstr>WasteDirectedToDisposalMass_unit</vt:lpstr>
      <vt:lpstr>WasteDirectedToDisposalVolume</vt:lpstr>
      <vt:lpstr>WasteDirectedToDisposalVolume_unit</vt:lpstr>
      <vt:lpstr>WasteDivertedToRecycleOrReuseMass</vt:lpstr>
      <vt:lpstr>WasteDivertedToRecycleOrReuseMass_unit</vt:lpstr>
      <vt:lpstr>WasteDivertedToRecycleOrReuseVolume</vt:lpstr>
      <vt:lpstr>WasteDivertedToRecycleOrReuseVolume_unit</vt:lpstr>
      <vt:lpstr>WasteGeneratedTable</vt:lpstr>
      <vt:lpstr>WaterDischargeFromUndertakingProductionProcesses</vt:lpstr>
      <vt:lpstr>WeightOfMaterialUsed</vt:lpstr>
      <vt:lpstr>WeightOfMaterialUsed_unit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Boessen</dc:creator>
  <cp:keywords/>
  <dc:description/>
  <cp:lastModifiedBy>Mathias Mingazzini</cp:lastModifiedBy>
  <cp:revision/>
  <dcterms:created xsi:type="dcterms:W3CDTF">2025-01-13T10:12:12Z</dcterms:created>
  <dcterms:modified xsi:type="dcterms:W3CDTF">2025-10-03T16:09:15Z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0x01010080762B0F40C11B4C87CE7EAFB64A35D4</vt:lpwstr>
  </property>
  <property fmtid="{D5CDD505-2E9C-101B-9397-08002B2CF9AE}" pid="3" name="efclTopics">
    <vt:lpwstr/>
  </property>
  <property fmtid="{D5CDD505-2E9C-101B-9397-08002B2CF9AE}" pid="4" name="efclDocumentType">
    <vt:lpwstr/>
  </property>
  <property fmtid="{D5CDD505-2E9C-101B-9397-08002B2CF9AE}" pid="5" name="efclStandards">
    <vt:lpwstr/>
  </property>
  <property fmtid="{D5CDD505-2E9C-101B-9397-08002B2CF9AE}" pid="6" name="efclProjectStage">
    <vt:lpwstr/>
  </property>
</Properties>
</file>