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groupcz-my.sharepoint.com/personal/info_envigroup_cz/Documents/Dokumenty/Bussines/Envigroup/Semináře/A - Dokumenty pro PE/D/"/>
    </mc:Choice>
  </mc:AlternateContent>
  <xr:revisionPtr revIDLastSave="84" documentId="13_ncr:1_{B66ED463-BBAF-4AA9-B084-FD446F921324}" xr6:coauthVersionLast="47" xr6:coauthVersionMax="47" xr10:uidLastSave="{FD989029-C508-4706-8102-69877E8CC07A}"/>
  <bookViews>
    <workbookView xWindow="-110" yWindow="-110" windowWidth="38620" windowHeight="21100" xr2:uid="{7A05B434-6C2C-4129-85BA-61E4B3192B99}"/>
  </bookViews>
  <sheets>
    <sheet name="kategorizace, sčítání" sheetId="1" r:id="rId1"/>
    <sheet name="SPE mycí stoly" sheetId="2" r:id="rId2"/>
    <sheet name="bilance VOC" sheetId="3" r:id="rId3"/>
    <sheet name="tryskače" sheetId="5" r:id="rId4"/>
    <sheet name="kotelna EF" sheetId="6" r:id="rId5"/>
    <sheet name="kotelna měření" sheetId="7" r:id="rId6"/>
    <sheet name="SPE dieselagregáty" sheetId="4" r:id="rId7"/>
  </sheets>
  <definedNames>
    <definedName name="_xlnm.Print_Area" localSheetId="2">'bilance VOC'!$A$1:$E$41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7" l="1"/>
  <c r="L48" i="7"/>
  <c r="D32" i="7"/>
  <c r="E37" i="7" s="1"/>
  <c r="F37" i="7" s="1"/>
  <c r="E28" i="7"/>
  <c r="C22" i="7"/>
  <c r="E21" i="7"/>
  <c r="E20" i="7"/>
  <c r="J19" i="7"/>
  <c r="E19" i="7"/>
  <c r="E18" i="7"/>
  <c r="J11" i="7"/>
  <c r="M11" i="7" s="1"/>
  <c r="M10" i="7"/>
  <c r="J10" i="7"/>
  <c r="C6" i="7"/>
  <c r="C7" i="7" s="1"/>
  <c r="E7" i="7" s="1"/>
  <c r="M7" i="7" s="1"/>
  <c r="E22" i="7" l="1"/>
  <c r="E35" i="7"/>
  <c r="E6" i="7"/>
  <c r="M6" i="7" s="1"/>
  <c r="E36" i="7"/>
  <c r="F36" i="7" s="1"/>
  <c r="E38" i="7" l="1"/>
  <c r="J36" i="7" s="1"/>
  <c r="J38" i="7" s="1"/>
  <c r="F35" i="7"/>
  <c r="F38" i="7" s="1"/>
  <c r="H7" i="6" l="1"/>
  <c r="D38" i="6"/>
  <c r="E38" i="6" s="1"/>
  <c r="F38" i="6" s="1"/>
  <c r="D37" i="6"/>
  <c r="E37" i="6" s="1"/>
  <c r="F37" i="6" s="1"/>
  <c r="D36" i="6"/>
  <c r="E36" i="6" s="1"/>
  <c r="F36" i="6" s="1"/>
  <c r="D35" i="6"/>
  <c r="E35" i="6" s="1"/>
  <c r="F35" i="6" s="1"/>
  <c r="D34" i="6"/>
  <c r="E34" i="6" s="1"/>
  <c r="F34" i="6" s="1"/>
  <c r="E33" i="6"/>
  <c r="F33" i="6" s="1"/>
  <c r="G20" i="6"/>
  <c r="D13" i="6"/>
  <c r="D20" i="6" s="1"/>
  <c r="F7" i="6"/>
  <c r="F6" i="6"/>
  <c r="F5" i="6" s="1"/>
  <c r="F39" i="6" l="1"/>
  <c r="E20" i="6"/>
  <c r="F20" i="6" s="1"/>
  <c r="D21" i="6"/>
  <c r="E21" i="6" s="1"/>
  <c r="F21" i="6" s="1"/>
  <c r="E13" i="6"/>
  <c r="F13" i="6" s="1"/>
  <c r="C27" i="6" s="1"/>
  <c r="D14" i="6"/>
  <c r="E14" i="6" s="1"/>
  <c r="F14" i="6" s="1"/>
  <c r="C28" i="6" s="1"/>
  <c r="D15" i="5" l="1"/>
  <c r="E8" i="5"/>
  <c r="F8" i="5" s="1"/>
  <c r="F9" i="5" s="1"/>
  <c r="E7" i="5"/>
  <c r="F7" i="5" s="1"/>
  <c r="D9" i="5"/>
  <c r="L9" i="4"/>
  <c r="M9" i="4"/>
  <c r="J8" i="4"/>
  <c r="K8" i="4" s="1"/>
  <c r="H8" i="4"/>
  <c r="I8" i="4" s="1"/>
  <c r="J7" i="4"/>
  <c r="K7" i="4" s="1"/>
  <c r="G7" i="4"/>
  <c r="H7" i="4" s="1"/>
  <c r="I7" i="4" s="1"/>
  <c r="J6" i="4"/>
  <c r="K6" i="4" s="1"/>
  <c r="G6" i="4"/>
  <c r="H6" i="4" s="1"/>
  <c r="I6" i="4" s="1"/>
  <c r="J5" i="4"/>
  <c r="K5" i="4" s="1"/>
  <c r="G5" i="4"/>
  <c r="H5" i="4" s="1"/>
  <c r="I5" i="4" s="1"/>
  <c r="J4" i="4"/>
  <c r="K4" i="4" s="1"/>
  <c r="H4" i="4"/>
  <c r="I4" i="4" s="1"/>
  <c r="E6" i="5" l="1"/>
  <c r="F6" i="5" s="1"/>
  <c r="M6" i="4"/>
  <c r="L6" i="4"/>
  <c r="L4" i="4"/>
  <c r="M4" i="4"/>
  <c r="L8" i="4"/>
  <c r="M8" i="4"/>
  <c r="L5" i="4"/>
  <c r="M5" i="4"/>
  <c r="M7" i="4"/>
  <c r="L7" i="4"/>
  <c r="C40" i="3"/>
  <c r="N36" i="3"/>
  <c r="P36" i="3" s="1"/>
  <c r="N35" i="3"/>
  <c r="N37" i="3" s="1"/>
  <c r="C30" i="3"/>
  <c r="C31" i="3" s="1"/>
  <c r="C41" i="3" s="1"/>
  <c r="C28" i="3"/>
  <c r="L19" i="3"/>
  <c r="L18" i="3"/>
  <c r="L21" i="3" s="1"/>
  <c r="J11" i="3"/>
  <c r="L10" i="3"/>
  <c r="M10" i="3" s="1"/>
  <c r="L9" i="3"/>
  <c r="L11" i="3" s="1"/>
  <c r="K11" i="3" s="1"/>
  <c r="L8" i="3"/>
  <c r="M8" i="3" s="1"/>
  <c r="L7" i="3"/>
  <c r="M7" i="3" s="1"/>
  <c r="L6" i="3"/>
  <c r="M6" i="3" s="1"/>
  <c r="L5" i="3"/>
  <c r="M5" i="3" s="1"/>
  <c r="M11" i="3" l="1"/>
  <c r="M9" i="3"/>
  <c r="P35" i="3"/>
  <c r="P37" i="3" s="1"/>
  <c r="C5" i="2" l="1"/>
  <c r="F5" i="2" s="1"/>
  <c r="C4" i="2"/>
  <c r="F4" i="2" s="1"/>
  <c r="F8" i="2" l="1"/>
  <c r="A4" i="1"/>
  <c r="D15" i="1"/>
  <c r="H7" i="1"/>
  <c r="H5" i="1"/>
  <c r="A10" i="1"/>
  <c r="A11" i="1" s="1"/>
</calcChain>
</file>

<file path=xl/sharedStrings.xml><?xml version="1.0" encoding="utf-8"?>
<sst xmlns="http://schemas.openxmlformats.org/spreadsheetml/2006/main" count="377" uniqueCount="275">
  <si>
    <t>kW výkon</t>
  </si>
  <si>
    <t>kW příkon</t>
  </si>
  <si>
    <t>L MN/hod</t>
  </si>
  <si>
    <t>kW/kg MN výhřenost</t>
  </si>
  <si>
    <t>MN v kg/hod</t>
  </si>
  <si>
    <t>samostatný kotel</t>
  </si>
  <si>
    <t>společný komín</t>
  </si>
  <si>
    <t>nelze spol. komín</t>
  </si>
  <si>
    <t>bez ohledu na komín</t>
  </si>
  <si>
    <t>měření emisí 1x3R</t>
  </si>
  <si>
    <t>bez měření, jen výpočet</t>
  </si>
  <si>
    <t>tepl. účinnost</t>
  </si>
  <si>
    <t>m3/hod ventilátor</t>
  </si>
  <si>
    <t>hod/R</t>
  </si>
  <si>
    <t>t TZL rok</t>
  </si>
  <si>
    <t>výpočet příkonu přes výkon a účinnost:</t>
  </si>
  <si>
    <t>mg TZL/m3 emisní tok</t>
  </si>
  <si>
    <t>příkon přes spotřebu paliva a výhřevnost:</t>
  </si>
  <si>
    <t>sčítání zdrojů:</t>
  </si>
  <si>
    <t>Výpočet roční emise pro zdroj 11.1:</t>
  </si>
  <si>
    <t>tepelný příkon</t>
  </si>
  <si>
    <t>PŘÍLOHA k SPE</t>
  </si>
  <si>
    <t>Odmašťování a čištění povrchů:</t>
  </si>
  <si>
    <t>mycí stůl</t>
  </si>
  <si>
    <t>obsah VOC</t>
  </si>
  <si>
    <t>spotřeba VOC</t>
  </si>
  <si>
    <t>PureSolve č. 1 200L</t>
  </si>
  <si>
    <t>naplň xxx</t>
  </si>
  <si>
    <t>PureSolve č. 2 160L</t>
  </si>
  <si>
    <t>t VOC</t>
  </si>
  <si>
    <t>četnost výměny náplně/rok</t>
  </si>
  <si>
    <r>
      <t xml:space="preserve">náplň t 
</t>
    </r>
    <r>
      <rPr>
        <b/>
        <sz val="7"/>
        <rFont val="Arial"/>
        <family val="2"/>
        <charset val="238"/>
      </rPr>
      <t>(objem x hustota)</t>
    </r>
  </si>
  <si>
    <t>v případě nad 0,6 t jde o VZZO:</t>
  </si>
  <si>
    <t>List BR: Bilance organických rozpouštědel</t>
  </si>
  <si>
    <t xml:space="preserve">IČP:  </t>
  </si>
  <si>
    <t>Vstupní suroviny:</t>
  </si>
  <si>
    <t>Pořadové č. listu BR / celkový počet listů BR:</t>
  </si>
  <si>
    <t>1/1</t>
  </si>
  <si>
    <t>Nátěrová hmota</t>
  </si>
  <si>
    <t>spotřeba (kg)</t>
  </si>
  <si>
    <t>obsah VOC (%)</t>
  </si>
  <si>
    <t>množství VOC (kg)</t>
  </si>
  <si>
    <t>obsah netěkavé složky (kg)</t>
  </si>
  <si>
    <t>Pořadové číslo zdroje uvedeného v ČP1 Listu 3 souhrnné provozní evidence</t>
  </si>
  <si>
    <t>101</t>
  </si>
  <si>
    <t>1. Technické údaje potřebné pro výpočet BR</t>
  </si>
  <si>
    <t>jednotka</t>
  </si>
  <si>
    <t>hodnota</t>
  </si>
  <si>
    <t>popis údaje</t>
  </si>
  <si>
    <t>a)</t>
  </si>
  <si>
    <t>[kg/kg]</t>
  </si>
  <si>
    <t>celkový obsah VOC v kg/kg produktu</t>
  </si>
  <si>
    <t>b)</t>
  </si>
  <si>
    <t>[% obj.]</t>
  </si>
  <si>
    <t>obsah netěkavých látek (sušiny) v produktu v objemových %</t>
  </si>
  <si>
    <t>c)</t>
  </si>
  <si>
    <r>
      <t>[g/cm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</si>
  <si>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t>hustota produktu</t>
  </si>
  <si>
    <t>2. Veličiny hmotnostní bilance</t>
  </si>
  <si>
    <t>Bilance se provádí pro organická rozpouštědla vyjádřená jako VOC. V případě veličiny O1, změřené jako TOC, se provede její přepočet na VOC. Přepočet se provede na základě znalosti složení měřených emisí. V případě, že složení emisí není známo, popř. je proměnné, provede se přepočet na základě vztahu: VOC = TOC / 0,8.</t>
  </si>
  <si>
    <t>Celkem</t>
  </si>
  <si>
    <t>vstupy (I)</t>
  </si>
  <si>
    <t>I1</t>
  </si>
  <si>
    <t>[kg/rok]</t>
  </si>
  <si>
    <t>celková hmotnost VOC na vstupu do procesů</t>
  </si>
  <si>
    <t>I2</t>
  </si>
  <si>
    <t>celková hmotnost VOC, které jsou recyklovány</t>
  </si>
  <si>
    <t>VOC v odpadech</t>
  </si>
  <si>
    <t>výstupy (O)</t>
  </si>
  <si>
    <t>Odpad</t>
  </si>
  <si>
    <t>koncentrace (%)</t>
  </si>
  <si>
    <t>množství odpadu (kg)</t>
  </si>
  <si>
    <t>množství VOC (t)</t>
  </si>
  <si>
    <t>O1</t>
  </si>
  <si>
    <t>VOC v odpadním plynu (v emisích)</t>
  </si>
  <si>
    <t>O2</t>
  </si>
  <si>
    <t>VOC v odpadní vodě</t>
  </si>
  <si>
    <t>O3</t>
  </si>
  <si>
    <t>VOC jako rezidua v expedovaných produktech</t>
  </si>
  <si>
    <t>O4</t>
  </si>
  <si>
    <t>VOC volně unikající do ovzduší (odvětrávání)</t>
  </si>
  <si>
    <t>O5</t>
  </si>
  <si>
    <t>hmotnost zachycených nebo zakotvených VOC</t>
  </si>
  <si>
    <t>O6</t>
  </si>
  <si>
    <t>VOC ve shromážděných odpadech</t>
  </si>
  <si>
    <t>O7</t>
  </si>
  <si>
    <t>VOC v přípravcích expedovaných jako komerční produkt</t>
  </si>
  <si>
    <t>O8</t>
  </si>
  <si>
    <t>VOC v rozpouštědlech určených k regeneraci</t>
  </si>
  <si>
    <t>O9</t>
  </si>
  <si>
    <t>VOC uvolněných do ŽP jiným způsobem</t>
  </si>
  <si>
    <t>3. Základní bilanční výpočty těkavých organických látek</t>
  </si>
  <si>
    <t>poznámka (vzorec, jednotka)</t>
  </si>
  <si>
    <t>C = I1 - O8</t>
  </si>
  <si>
    <t>N = suroviny * podíl sušiny</t>
  </si>
  <si>
    <t>F = I1 - O1 - O5 - O6 - O7 - O8, nebo F = O2 + O3 + O4 + O9</t>
  </si>
  <si>
    <t>Emise - měření emisí na výduších</t>
  </si>
  <si>
    <t>d)</t>
  </si>
  <si>
    <t>E = F + O1</t>
  </si>
  <si>
    <t>Výduch
č.</t>
  </si>
  <si>
    <t>emise TOC g/kg surovin</t>
  </si>
  <si>
    <t>hm. tok TOC kg/h</t>
  </si>
  <si>
    <t>množství nátěrových hmot (kg)</t>
  </si>
  <si>
    <t>prov. hodiny</t>
  </si>
  <si>
    <t>TOC (t)</t>
  </si>
  <si>
    <t>koef. VOC/TOC</t>
  </si>
  <si>
    <t>VOC (t)</t>
  </si>
  <si>
    <t>e)</t>
  </si>
  <si>
    <t>[g/kg]
[kg/t]</t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</si>
  <si>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 nebo kg] / roční produkce [kg nebo t]</t>
    </r>
  </si>
  <si>
    <r>
      <t>[g/m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</si>
  <si>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MVE</t>
    </r>
    <r>
      <rPr>
        <vertAlign val="subscript"/>
        <sz val="10"/>
        <rFont val="Arial"/>
        <family val="2"/>
      </rPr>
      <t>fe</t>
    </r>
    <r>
      <rPr>
        <sz val="10"/>
        <rFont val="Arial"/>
        <family val="2"/>
      </rPr>
      <t xml:space="preserve"> = F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</si>
  <si>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[g/pár]</t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</si>
  <si>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[g] / roční produkce (počet vyrobených párů)</t>
    </r>
  </si>
  <si>
    <r>
      <t>[kg/m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</si>
  <si>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</si>
  <si>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101 lakovací box</t>
  </si>
  <si>
    <t>f)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</si>
  <si>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 nebo kg] / roční produkce [kg nebo t]</t>
    </r>
  </si>
  <si>
    <t>102 vypalovací box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</si>
  <si>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</si>
  <si>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celkem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</si>
  <si>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(počet vyrobených párů)</t>
    </r>
  </si>
  <si>
    <t>do SPE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</si>
  <si>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</si>
  <si>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g)</t>
  </si>
  <si>
    <t>[%]</t>
  </si>
  <si>
    <t>EPfe = F * 100 / (I1 + I2)</t>
  </si>
  <si>
    <t>h)</t>
  </si>
  <si>
    <t>EPce = E * 100 / (I1 + I2)</t>
  </si>
  <si>
    <t>ABC Zlín</t>
  </si>
  <si>
    <t>Lokalita</t>
  </si>
  <si>
    <t>Typ zařízení</t>
  </si>
  <si>
    <t>Název zařízení</t>
  </si>
  <si>
    <t>Palivo</t>
  </si>
  <si>
    <t>objem nádrže (l)</t>
  </si>
  <si>
    <t>Spotřeba (při 75% výkonu l/hod)</t>
  </si>
  <si>
    <t>Spotřeba (při 100% výkonu l/hod)</t>
  </si>
  <si>
    <t>kg/hod PHM</t>
  </si>
  <si>
    <t>tep. příkon kW</t>
  </si>
  <si>
    <t>provozní hodiny (20min/14D) při 75% zatížení</t>
  </si>
  <si>
    <t>spořeba paliva t
SPE</t>
  </si>
  <si>
    <r>
      <t xml:space="preserve">Emise
NOx
t
</t>
    </r>
    <r>
      <rPr>
        <b/>
        <sz val="8"/>
        <color rgb="FFFF0000"/>
        <rFont val="Aptos Narrow"/>
        <family val="2"/>
        <charset val="238"/>
        <scheme val="minor"/>
      </rPr>
      <t>EF 26,8 kg/t</t>
    </r>
  </si>
  <si>
    <r>
      <t xml:space="preserve">Emise
CO
t
</t>
    </r>
    <r>
      <rPr>
        <b/>
        <sz val="8"/>
        <color rgb="FFFF0000"/>
        <rFont val="Aptos Narrow"/>
        <family val="2"/>
        <charset val="238"/>
        <scheme val="minor"/>
      </rPr>
      <t>EF 6 kg/t</t>
    </r>
  </si>
  <si>
    <t>adresa</t>
  </si>
  <si>
    <t>Objekt 13</t>
  </si>
  <si>
    <t>MTG</t>
  </si>
  <si>
    <t xml:space="preserve">CTM SJD 180 </t>
  </si>
  <si>
    <t>nafta</t>
  </si>
  <si>
    <t>nám. T. G. Masaryka 5555</t>
  </si>
  <si>
    <t>Objekt 56</t>
  </si>
  <si>
    <t>CTM SP 245</t>
  </si>
  <si>
    <t>Nad Stráněmi 5656</t>
  </si>
  <si>
    <t>Objekt 17</t>
  </si>
  <si>
    <t>CTM SV 250</t>
  </si>
  <si>
    <t>třída Tomáše Bati 5678</t>
  </si>
  <si>
    <t>Objekt 15</t>
  </si>
  <si>
    <t>AKSA 200C, 200kVA</t>
  </si>
  <si>
    <t>Vavrečkova 5669</t>
  </si>
  <si>
    <t>Objekt 18</t>
  </si>
  <si>
    <t>CAT</t>
  </si>
  <si>
    <t>Štefánikova 5670</t>
  </si>
  <si>
    <t>Tryskací zařízení (3x tryskací box)</t>
  </si>
  <si>
    <t>kg/hod</t>
  </si>
  <si>
    <t>provozní hodiny</t>
  </si>
  <si>
    <t>Emise v kg</t>
  </si>
  <si>
    <t>Emise v t</t>
  </si>
  <si>
    <t>Tryskací box 1</t>
  </si>
  <si>
    <t>SB2</t>
  </si>
  <si>
    <t>zdroj bez výduchu</t>
  </si>
  <si>
    <t>Tryskací box 2</t>
  </si>
  <si>
    <t>PEENMATIC 600 S</t>
  </si>
  <si>
    <t>Tryskací box 3</t>
  </si>
  <si>
    <t>Tryskací box ISK 1100</t>
  </si>
  <si>
    <t>zdroj s výduchem</t>
  </si>
  <si>
    <t>průměr</t>
  </si>
  <si>
    <t>t</t>
  </si>
  <si>
    <t>pro výpočet použit EF z odborného posudku pro odbobné zařízení</t>
  </si>
  <si>
    <t>3 omílací stroje – CF 1x50, 2x RMO 210/350 TE</t>
  </si>
  <si>
    <t>EF z OP</t>
  </si>
  <si>
    <t>měření emisí</t>
  </si>
  <si>
    <t>PŘÍLOHA k SPE ovzduší</t>
  </si>
  <si>
    <t>Hala výrobní</t>
  </si>
  <si>
    <t>zdroj</t>
  </si>
  <si>
    <t>001</t>
  </si>
  <si>
    <r>
      <t>Spotřeba zemního plynu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]: </t>
    </r>
  </si>
  <si>
    <t>1m3=10,55 kWh</t>
  </si>
  <si>
    <t>provoz 7 měsíců = topná sezóna = 100%</t>
  </si>
  <si>
    <t>MWh</t>
  </si>
  <si>
    <t>Účinnost</t>
  </si>
  <si>
    <t>Teplo GJ/rok</t>
  </si>
  <si>
    <t>m3</t>
  </si>
  <si>
    <t>Výpočet úletu znečišťujících látek:</t>
  </si>
  <si>
    <t>EF</t>
  </si>
  <si>
    <t>Kotel K1:</t>
  </si>
  <si>
    <r>
      <t xml:space="preserve">ZP 
v m </t>
    </r>
    <r>
      <rPr>
        <b/>
        <vertAlign val="superscript"/>
        <sz val="8"/>
        <rFont val="Arial"/>
        <family val="2"/>
        <charset val="238"/>
      </rPr>
      <t>3</t>
    </r>
  </si>
  <si>
    <t>TZL</t>
  </si>
  <si>
    <t>SO2</t>
  </si>
  <si>
    <t>NOx</t>
  </si>
  <si>
    <t>CO</t>
  </si>
  <si>
    <t>Org. látky</t>
  </si>
  <si>
    <t>Kotel K2:</t>
  </si>
  <si>
    <t>Emise za agregovaný zdroj 001:</t>
  </si>
  <si>
    <t>látka</t>
  </si>
  <si>
    <t>Sazba</t>
  </si>
  <si>
    <t>101 Zpracování plastů</t>
  </si>
  <si>
    <t>kg/hod TOC</t>
  </si>
  <si>
    <t>Emise TOC v t</t>
  </si>
  <si>
    <t>linka 1</t>
  </si>
  <si>
    <t>měření 13.5.2024</t>
  </si>
  <si>
    <t>linka 2</t>
  </si>
  <si>
    <t>linka 3</t>
  </si>
  <si>
    <t>linka 4</t>
  </si>
  <si>
    <t>linka 5</t>
  </si>
  <si>
    <t>linka 6</t>
  </si>
  <si>
    <t>celkem za zdroj 101</t>
  </si>
  <si>
    <t xml:space="preserve"> - </t>
  </si>
  <si>
    <t>věstník MŽP</t>
  </si>
  <si>
    <t>Výpočet množství znečišťujících látek</t>
  </si>
  <si>
    <t>Palivo: ZP</t>
  </si>
  <si>
    <t>palivo m3</t>
  </si>
  <si>
    <t>EF kg/tis.m3</t>
  </si>
  <si>
    <t>Emise</t>
  </si>
  <si>
    <t>EF jsou uvedeny v kg/mil. m3 spáleného plynu</t>
  </si>
  <si>
    <t>teplo</t>
  </si>
  <si>
    <t>GJ</t>
  </si>
  <si>
    <t>hodiny</t>
  </si>
  <si>
    <t>měření</t>
  </si>
  <si>
    <t>Kotel K2</t>
  </si>
  <si>
    <t>automat</t>
  </si>
  <si>
    <t>Celkem zdroj 004</t>
  </si>
  <si>
    <t>Parní kotelna - zdroj: 005</t>
  </si>
  <si>
    <t>provoz od 1.10.24</t>
  </si>
  <si>
    <t>Kotel K1 parní kotel typu Universal UL-S Bosch</t>
  </si>
  <si>
    <t>palivo za 005</t>
  </si>
  <si>
    <t>005</t>
  </si>
  <si>
    <t>Odmašťování povrchů (aplikace acetonu) - zdroj: 101</t>
  </si>
  <si>
    <t>Čištění plastů</t>
  </si>
  <si>
    <t>projektovaná kapacita max. 2 t VOC</t>
  </si>
  <si>
    <t>Přípravek</t>
  </si>
  <si>
    <t>spotřeba</t>
  </si>
  <si>
    <t>emise</t>
  </si>
  <si>
    <t>litrů</t>
  </si>
  <si>
    <t>kg/l</t>
  </si>
  <si>
    <t>technický líh</t>
  </si>
  <si>
    <t>1-směnný provoz</t>
  </si>
  <si>
    <t>isopropylakohol</t>
  </si>
  <si>
    <t>hod</t>
  </si>
  <si>
    <t>aceton</t>
  </si>
  <si>
    <t>Lisování plastů (SMC) - zdroj: 102</t>
  </si>
  <si>
    <t>emisní</t>
  </si>
  <si>
    <t>součinitel*</t>
  </si>
  <si>
    <t>Durodet SMC</t>
  </si>
  <si>
    <t>Způsob odvodu emisí z procesu lisování plastů:</t>
  </si>
  <si>
    <t>emise nevykazovat do SPE - nejsou EL</t>
  </si>
  <si>
    <t>a) emise výduchy do vnějšího ovzduší:</t>
  </si>
  <si>
    <t>provozní hodiny:</t>
  </si>
  <si>
    <t>3-směnný provoz</t>
  </si>
  <si>
    <t>Výduchy</t>
  </si>
  <si>
    <t>hm.tok</t>
  </si>
  <si>
    <t>g/hod**</t>
  </si>
  <si>
    <t>a) emise výduchem</t>
  </si>
  <si>
    <t>VOC</t>
  </si>
  <si>
    <t>b) fugitivní emise:</t>
  </si>
  <si>
    <t>* Emisní součinitel pro zpracování pryskyřic v ostatních procesech (% styrénu) podle metodického pokynu č. 17 odboru ochrany ovzduší. Vztaženo na 1 t vstupní hmoty lisované za tepla.</t>
  </si>
  <si>
    <t>** Hmotnostní tok emisí zjištěný měřením</t>
  </si>
  <si>
    <t>Výroba a zpracování ostatních syntetických polymerů a výroba
kompozitu, s výjimkou kompozitů vyjmenovaných jinde - zdroj: 103</t>
  </si>
  <si>
    <t>Provozní hodiny:</t>
  </si>
  <si>
    <t>spotřeba GMT</t>
  </si>
  <si>
    <t>spotřeba PP</t>
  </si>
  <si>
    <t>hod.</t>
  </si>
  <si>
    <t>Příloha k SPE ovzduší</t>
  </si>
  <si>
    <t>Eska ředidlo</t>
  </si>
  <si>
    <t>emise VOC</t>
  </si>
  <si>
    <t>kotelna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</si>
</sst>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0.0%"/>
    <numFmt numFmtId="165" formatCode="0.000"/>
    <numFmt numFmtId="166" formatCode="0.0"/>
    <numFmt numFmtId="167" formatCode="_-* #,##0\ &quot;Kč&quot;_-;\-* #,##0\ &quot;Kč&quot;_-;_-* &quot;-&quot;??\ &quot;Kč&quot;_-;_-@_-"/>
    <numFmt numFmtId="168" formatCode="0.0000"/>
  </numFmts>
  <fonts count="4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2"/>
      <color indexed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sz val="8"/>
      <color indexed="10"/>
      <name val="Arial CE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10"/>
      <name val="Arial CE"/>
      <charset val="238"/>
    </font>
    <font>
      <b/>
      <sz val="10"/>
      <color theme="1"/>
      <name val="Arial CE"/>
      <charset val="238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theme="1"/>
      <name val="Aptos Narrow"/>
      <family val="2"/>
      <charset val="238"/>
      <scheme val="minor"/>
    </font>
    <font>
      <b/>
      <sz val="8"/>
      <color rgb="FFFF0000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20"/>
      <name val="Arial"/>
      <family val="2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uble">
        <color indexed="64"/>
      </left>
      <right style="thick">
        <color indexed="8"/>
      </right>
      <top style="thick">
        <color indexed="8"/>
      </top>
      <bottom style="double">
        <color indexed="64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double">
        <color indexed="8"/>
      </left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8"/>
      </right>
      <top/>
      <bottom style="hair">
        <color indexed="64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27" fillId="0" borderId="0"/>
    <xf numFmtId="44" fontId="7" fillId="0" borderId="0" applyFont="0" applyFill="0" applyBorder="0" applyAlignment="0" applyProtection="0"/>
    <xf numFmtId="0" fontId="3" fillId="0" borderId="0"/>
  </cellStyleXfs>
  <cellXfs count="441">
    <xf numFmtId="0" fontId="0" fillId="0" borderId="0" xfId="0"/>
    <xf numFmtId="9" fontId="0" fillId="0" borderId="0" xfId="1" applyFont="1"/>
    <xf numFmtId="1" fontId="0" fillId="3" borderId="0" xfId="0" applyNumberFormat="1" applyFill="1"/>
    <xf numFmtId="0" fontId="0" fillId="3" borderId="0" xfId="0" applyFill="1"/>
    <xf numFmtId="0" fontId="2" fillId="3" borderId="0" xfId="0" applyFont="1" applyFill="1"/>
    <xf numFmtId="0" fontId="2" fillId="2" borderId="0" xfId="0" applyFont="1" applyFill="1"/>
    <xf numFmtId="0" fontId="0" fillId="4" borderId="0" xfId="0" applyFill="1"/>
    <xf numFmtId="0" fontId="2" fillId="0" borderId="0" xfId="0" applyFont="1"/>
    <xf numFmtId="0" fontId="4" fillId="0" borderId="0" xfId="2" applyFont="1" applyAlignment="1">
      <alignment horizontal="center"/>
    </xf>
    <xf numFmtId="0" fontId="3" fillId="0" borderId="0" xfId="2"/>
    <xf numFmtId="0" fontId="5" fillId="0" borderId="0" xfId="2" applyFont="1"/>
    <xf numFmtId="0" fontId="3" fillId="0" borderId="1" xfId="2" applyBorder="1"/>
    <xf numFmtId="164" fontId="3" fillId="0" borderId="1" xfId="3" applyNumberFormat="1" applyFont="1" applyBorder="1"/>
    <xf numFmtId="165" fontId="3" fillId="0" borderId="1" xfId="2" applyNumberFormat="1" applyBorder="1"/>
    <xf numFmtId="165" fontId="5" fillId="4" borderId="0" xfId="2" applyNumberFormat="1" applyFont="1" applyFill="1"/>
    <xf numFmtId="0" fontId="5" fillId="4" borderId="0" xfId="2" applyFont="1" applyFill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right"/>
    </xf>
    <xf numFmtId="0" fontId="7" fillId="5" borderId="0" xfId="4" applyFill="1"/>
    <xf numFmtId="49" fontId="10" fillId="6" borderId="2" xfId="4" applyNumberFormat="1" applyFont="1" applyFill="1" applyBorder="1" applyAlignment="1">
      <alignment vertical="center"/>
    </xf>
    <xf numFmtId="0" fontId="7" fillId="6" borderId="3" xfId="4" applyFill="1" applyBorder="1" applyAlignment="1">
      <alignment vertical="center"/>
    </xf>
    <xf numFmtId="0" fontId="11" fillId="6" borderId="3" xfId="4" applyFont="1" applyFill="1" applyBorder="1" applyAlignment="1">
      <alignment horizontal="right" vertical="center"/>
    </xf>
    <xf numFmtId="1" fontId="12" fillId="5" borderId="4" xfId="4" applyNumberFormat="1" applyFont="1" applyFill="1" applyBorder="1" applyAlignment="1" applyProtection="1">
      <alignment horizontal="center" vertical="center"/>
      <protection locked="0"/>
    </xf>
    <xf numFmtId="0" fontId="13" fillId="5" borderId="0" xfId="4" applyFont="1" applyFill="1"/>
    <xf numFmtId="49" fontId="11" fillId="6" borderId="5" xfId="4" applyNumberFormat="1" applyFont="1" applyFill="1" applyBorder="1" applyAlignment="1">
      <alignment vertical="center"/>
    </xf>
    <xf numFmtId="0" fontId="7" fillId="6" borderId="6" xfId="4" applyFill="1" applyBorder="1" applyAlignment="1">
      <alignment vertical="center"/>
    </xf>
    <xf numFmtId="49" fontId="10" fillId="6" borderId="6" xfId="4" applyNumberFormat="1" applyFont="1" applyFill="1" applyBorder="1" applyAlignment="1" applyProtection="1">
      <alignment horizontal="center" vertical="center"/>
      <protection locked="0"/>
    </xf>
    <xf numFmtId="49" fontId="10" fillId="5" borderId="6" xfId="4" applyNumberFormat="1" applyFont="1" applyFill="1" applyBorder="1" applyAlignment="1" applyProtection="1">
      <alignment horizontal="center" vertical="center"/>
      <protection locked="0"/>
    </xf>
    <xf numFmtId="0" fontId="7" fillId="6" borderId="7" xfId="4" applyFill="1" applyBorder="1" applyAlignment="1">
      <alignment vertical="center"/>
    </xf>
    <xf numFmtId="49" fontId="11" fillId="6" borderId="11" xfId="4" applyNumberFormat="1" applyFont="1" applyFill="1" applyBorder="1" applyAlignment="1">
      <alignment vertical="center"/>
    </xf>
    <xf numFmtId="0" fontId="7" fillId="6" borderId="0" xfId="4" applyFill="1" applyAlignment="1">
      <alignment vertical="center"/>
    </xf>
    <xf numFmtId="49" fontId="10" fillId="6" borderId="0" xfId="4" applyNumberFormat="1" applyFont="1" applyFill="1" applyAlignment="1" applyProtection="1">
      <alignment horizontal="center" vertical="center"/>
      <protection locked="0"/>
    </xf>
    <xf numFmtId="49" fontId="10" fillId="6" borderId="0" xfId="4" applyNumberFormat="1" applyFont="1" applyFill="1" applyAlignment="1" applyProtection="1">
      <alignment vertical="center"/>
      <protection locked="0"/>
    </xf>
    <xf numFmtId="49" fontId="15" fillId="5" borderId="12" xfId="4" applyNumberFormat="1" applyFont="1" applyFill="1" applyBorder="1" applyAlignment="1">
      <alignment horizontal="center" vertical="center"/>
    </xf>
    <xf numFmtId="0" fontId="16" fillId="6" borderId="16" xfId="5" applyFont="1" applyFill="1" applyBorder="1" applyAlignment="1">
      <alignment horizontal="left" vertical="center"/>
    </xf>
    <xf numFmtId="0" fontId="3" fillId="6" borderId="17" xfId="5" applyFill="1" applyBorder="1" applyAlignment="1">
      <alignment vertical="center"/>
    </xf>
    <xf numFmtId="0" fontId="3" fillId="6" borderId="18" xfId="5" applyFill="1" applyBorder="1" applyAlignment="1">
      <alignment vertical="center"/>
    </xf>
    <xf numFmtId="0" fontId="17" fillId="5" borderId="0" xfId="4" applyFont="1" applyFill="1"/>
    <xf numFmtId="0" fontId="3" fillId="2" borderId="19" xfId="6" applyFill="1" applyBorder="1" applyAlignment="1">
      <alignment horizontal="left"/>
    </xf>
    <xf numFmtId="3" fontId="18" fillId="2" borderId="20" xfId="6" applyNumberFormat="1" applyFont="1" applyFill="1" applyBorder="1" applyAlignment="1">
      <alignment horizontal="right"/>
    </xf>
    <xf numFmtId="164" fontId="19" fillId="2" borderId="20" xfId="3" applyNumberFormat="1" applyFont="1" applyFill="1" applyBorder="1"/>
    <xf numFmtId="2" fontId="20" fillId="0" borderId="20" xfId="4" applyNumberFormat="1" applyFont="1" applyBorder="1"/>
    <xf numFmtId="2" fontId="20" fillId="0" borderId="21" xfId="4" applyNumberFormat="1" applyFont="1" applyBorder="1"/>
    <xf numFmtId="0" fontId="5" fillId="6" borderId="22" xfId="5" applyFont="1" applyFill="1" applyBorder="1" applyAlignment="1">
      <alignment horizontal="center" vertical="center"/>
    </xf>
    <xf numFmtId="0" fontId="5" fillId="6" borderId="23" xfId="5" applyFont="1" applyFill="1" applyBorder="1" applyAlignment="1">
      <alignment horizontal="center" vertical="center"/>
    </xf>
    <xf numFmtId="0" fontId="3" fillId="2" borderId="26" xfId="6" applyFill="1" applyBorder="1" applyAlignment="1">
      <alignment horizontal="left"/>
    </xf>
    <xf numFmtId="0" fontId="19" fillId="2" borderId="1" xfId="4" applyFont="1" applyFill="1" applyBorder="1"/>
    <xf numFmtId="164" fontId="19" fillId="2" borderId="1" xfId="3" applyNumberFormat="1" applyFont="1" applyFill="1" applyBorder="1"/>
    <xf numFmtId="0" fontId="3" fillId="6" borderId="27" xfId="5" applyFill="1" applyBorder="1" applyAlignment="1">
      <alignment horizontal="center" vertical="center"/>
    </xf>
    <xf numFmtId="0" fontId="3" fillId="6" borderId="20" xfId="5" applyFill="1" applyBorder="1" applyAlignment="1">
      <alignment horizontal="center" vertical="center"/>
    </xf>
    <xf numFmtId="165" fontId="21" fillId="5" borderId="20" xfId="5" applyNumberFormat="1" applyFont="1" applyFill="1" applyBorder="1" applyAlignment="1">
      <alignment horizontal="center" vertical="center"/>
    </xf>
    <xf numFmtId="0" fontId="3" fillId="6" borderId="30" xfId="5" applyFill="1" applyBorder="1" applyAlignment="1">
      <alignment horizontal="center" vertical="center"/>
    </xf>
    <xf numFmtId="0" fontId="3" fillId="6" borderId="1" xfId="5" applyFill="1" applyBorder="1" applyAlignment="1">
      <alignment horizontal="center" vertical="center"/>
    </xf>
    <xf numFmtId="166" fontId="21" fillId="5" borderId="1" xfId="5" applyNumberFormat="1" applyFont="1" applyFill="1" applyBorder="1" applyAlignment="1">
      <alignment horizontal="center" vertical="center"/>
    </xf>
    <xf numFmtId="0" fontId="3" fillId="6" borderId="33" xfId="5" applyFill="1" applyBorder="1" applyAlignment="1">
      <alignment horizontal="center" vertical="center"/>
    </xf>
    <xf numFmtId="0" fontId="3" fillId="6" borderId="34" xfId="5" applyFill="1" applyBorder="1" applyAlignment="1">
      <alignment horizontal="center" vertical="center"/>
    </xf>
    <xf numFmtId="1" fontId="21" fillId="5" borderId="34" xfId="5" applyNumberFormat="1" applyFont="1" applyFill="1" applyBorder="1" applyAlignment="1">
      <alignment horizontal="center" vertical="center"/>
    </xf>
    <xf numFmtId="0" fontId="16" fillId="6" borderId="37" xfId="5" applyFont="1" applyFill="1" applyBorder="1" applyAlignment="1">
      <alignment vertical="center"/>
    </xf>
    <xf numFmtId="0" fontId="3" fillId="6" borderId="37" xfId="5" applyFill="1" applyBorder="1" applyAlignment="1">
      <alignment vertical="center"/>
    </xf>
    <xf numFmtId="0" fontId="3" fillId="6" borderId="38" xfId="5" applyFill="1" applyBorder="1" applyAlignment="1">
      <alignment vertical="center"/>
    </xf>
    <xf numFmtId="0" fontId="3" fillId="6" borderId="39" xfId="5" applyFill="1" applyBorder="1" applyAlignment="1">
      <alignment vertical="center"/>
    </xf>
    <xf numFmtId="0" fontId="14" fillId="0" borderId="41" xfId="4" applyFont="1" applyBorder="1"/>
    <xf numFmtId="2" fontId="23" fillId="0" borderId="42" xfId="4" applyNumberFormat="1" applyFont="1" applyBorder="1"/>
    <xf numFmtId="164" fontId="23" fillId="0" borderId="42" xfId="3" applyNumberFormat="1" applyFont="1" applyBorder="1"/>
    <xf numFmtId="2" fontId="23" fillId="0" borderId="43" xfId="4" applyNumberFormat="1" applyFont="1" applyBorder="1"/>
    <xf numFmtId="0" fontId="5" fillId="6" borderId="44" xfId="5" applyFont="1" applyFill="1" applyBorder="1" applyAlignment="1">
      <alignment horizontal="center" vertical="center"/>
    </xf>
    <xf numFmtId="0" fontId="5" fillId="6" borderId="45" xfId="5" applyFont="1" applyFill="1" applyBorder="1" applyAlignment="1">
      <alignment horizontal="center" vertical="center"/>
    </xf>
    <xf numFmtId="0" fontId="3" fillId="6" borderId="50" xfId="5" applyFill="1" applyBorder="1" applyAlignment="1">
      <alignment horizontal="center" vertical="center"/>
    </xf>
    <xf numFmtId="1" fontId="21" fillId="8" borderId="20" xfId="5" applyNumberFormat="1" applyFont="1" applyFill="1" applyBorder="1" applyAlignment="1">
      <alignment horizontal="center" vertical="center"/>
    </xf>
    <xf numFmtId="0" fontId="3" fillId="6" borderId="53" xfId="5" applyFill="1" applyBorder="1" applyAlignment="1">
      <alignment horizontal="center" vertical="center"/>
    </xf>
    <xf numFmtId="0" fontId="3" fillId="6" borderId="54" xfId="5" applyFill="1" applyBorder="1" applyAlignment="1">
      <alignment horizontal="center" vertical="center"/>
    </xf>
    <xf numFmtId="1" fontId="21" fillId="5" borderId="54" xfId="5" applyNumberFormat="1" applyFont="1" applyFill="1" applyBorder="1" applyAlignment="1">
      <alignment horizontal="center" vertical="center"/>
    </xf>
    <xf numFmtId="1" fontId="21" fillId="5" borderId="1" xfId="5" applyNumberFormat="1" applyFont="1" applyFill="1" applyBorder="1" applyAlignment="1">
      <alignment horizontal="center" vertical="center"/>
    </xf>
    <xf numFmtId="0" fontId="7" fillId="2" borderId="19" xfId="4" applyFill="1" applyBorder="1"/>
    <xf numFmtId="164" fontId="19" fillId="2" borderId="20" xfId="4" applyNumberFormat="1" applyFont="1" applyFill="1" applyBorder="1"/>
    <xf numFmtId="1" fontId="19" fillId="2" borderId="20" xfId="4" applyNumberFormat="1" applyFont="1" applyFill="1" applyBorder="1"/>
    <xf numFmtId="165" fontId="20" fillId="0" borderId="21" xfId="4" applyNumberFormat="1" applyFont="1" applyBorder="1"/>
    <xf numFmtId="0" fontId="7" fillId="2" borderId="26" xfId="4" applyFill="1" applyBorder="1"/>
    <xf numFmtId="1" fontId="21" fillId="8" borderId="1" xfId="5" applyNumberFormat="1" applyFont="1" applyFill="1" applyBorder="1" applyAlignment="1">
      <alignment horizontal="center" vertical="center"/>
    </xf>
    <xf numFmtId="0" fontId="7" fillId="0" borderId="62" xfId="4" applyBorder="1"/>
    <xf numFmtId="0" fontId="7" fillId="0" borderId="63" xfId="4" applyBorder="1"/>
    <xf numFmtId="0" fontId="7" fillId="0" borderId="64" xfId="4" applyBorder="1"/>
    <xf numFmtId="165" fontId="20" fillId="0" borderId="65" xfId="4" applyNumberFormat="1" applyFont="1" applyBorder="1"/>
    <xf numFmtId="0" fontId="14" fillId="0" borderId="66" xfId="4" applyFont="1" applyBorder="1"/>
    <xf numFmtId="0" fontId="7" fillId="0" borderId="67" xfId="4" applyBorder="1"/>
    <xf numFmtId="0" fontId="7" fillId="0" borderId="68" xfId="4" applyBorder="1"/>
    <xf numFmtId="165" fontId="23" fillId="0" borderId="61" xfId="4" applyNumberFormat="1" applyFont="1" applyBorder="1"/>
    <xf numFmtId="0" fontId="5" fillId="6" borderId="16" xfId="5" applyFont="1" applyFill="1" applyBorder="1" applyAlignment="1">
      <alignment horizontal="center" vertical="center"/>
    </xf>
    <xf numFmtId="0" fontId="5" fillId="6" borderId="71" xfId="5" applyFont="1" applyFill="1" applyBorder="1" applyAlignment="1">
      <alignment horizontal="center" vertical="center"/>
    </xf>
    <xf numFmtId="1" fontId="21" fillId="5" borderId="20" xfId="5" applyNumberFormat="1" applyFont="1" applyFill="1" applyBorder="1" applyAlignment="1">
      <alignment horizontal="center" vertical="center"/>
    </xf>
    <xf numFmtId="0" fontId="18" fillId="6" borderId="74" xfId="5" applyFont="1" applyFill="1" applyBorder="1" applyAlignment="1">
      <alignment horizontal="center" vertical="center" wrapText="1"/>
    </xf>
    <xf numFmtId="166" fontId="21" fillId="5" borderId="74" xfId="5" applyNumberFormat="1" applyFont="1" applyFill="1" applyBorder="1" applyAlignment="1">
      <alignment horizontal="center" vertical="center"/>
    </xf>
    <xf numFmtId="0" fontId="18" fillId="6" borderId="81" xfId="5" applyFont="1" applyFill="1" applyBorder="1" applyAlignment="1">
      <alignment horizontal="center" vertical="center"/>
    </xf>
    <xf numFmtId="166" fontId="21" fillId="5" borderId="81" xfId="5" applyNumberFormat="1" applyFont="1" applyFill="1" applyBorder="1" applyAlignment="1">
      <alignment horizontal="center" vertical="center"/>
    </xf>
    <xf numFmtId="0" fontId="18" fillId="6" borderId="83" xfId="5" applyFont="1" applyFill="1" applyBorder="1" applyAlignment="1">
      <alignment horizontal="center" vertical="center"/>
    </xf>
    <xf numFmtId="166" fontId="21" fillId="5" borderId="83" xfId="5" applyNumberFormat="1" applyFont="1" applyFill="1" applyBorder="1" applyAlignment="1">
      <alignment horizontal="center" vertical="center"/>
    </xf>
    <xf numFmtId="0" fontId="18" fillId="6" borderId="86" xfId="5" applyFont="1" applyFill="1" applyBorder="1" applyAlignment="1">
      <alignment horizontal="center" vertical="center"/>
    </xf>
    <xf numFmtId="166" fontId="21" fillId="5" borderId="86" xfId="5" applyNumberFormat="1" applyFont="1" applyFill="1" applyBorder="1" applyAlignment="1">
      <alignment horizontal="center" vertical="center"/>
    </xf>
    <xf numFmtId="0" fontId="7" fillId="0" borderId="8" xfId="4" applyBorder="1" applyAlignment="1">
      <alignment horizontal="left"/>
    </xf>
    <xf numFmtId="0" fontId="19" fillId="0" borderId="89" xfId="4" applyFont="1" applyBorder="1"/>
    <xf numFmtId="0" fontId="19" fillId="2" borderId="9" xfId="4" applyFont="1" applyFill="1" applyBorder="1"/>
    <xf numFmtId="2" fontId="20" fillId="0" borderId="9" xfId="4" applyNumberFormat="1" applyFont="1" applyBorder="1"/>
    <xf numFmtId="165" fontId="20" fillId="0" borderId="9" xfId="4" applyNumberFormat="1" applyFont="1" applyBorder="1"/>
    <xf numFmtId="0" fontId="19" fillId="0" borderId="9" xfId="4" applyFont="1" applyBorder="1"/>
    <xf numFmtId="165" fontId="20" fillId="0" borderId="10" xfId="4" applyNumberFormat="1" applyFont="1" applyBorder="1"/>
    <xf numFmtId="0" fontId="7" fillId="0" borderId="26" xfId="4" applyBorder="1" applyAlignment="1">
      <alignment horizontal="left"/>
    </xf>
    <xf numFmtId="0" fontId="19" fillId="0" borderId="1" xfId="4" applyFont="1" applyBorder="1"/>
    <xf numFmtId="2" fontId="20" fillId="0" borderId="1" xfId="4" applyNumberFormat="1" applyFont="1" applyBorder="1"/>
    <xf numFmtId="165" fontId="20" fillId="0" borderId="1" xfId="4" applyNumberFormat="1" applyFont="1" applyBorder="1"/>
    <xf numFmtId="165" fontId="20" fillId="0" borderId="90" xfId="4" applyNumberFormat="1" applyFont="1" applyBorder="1"/>
    <xf numFmtId="0" fontId="23" fillId="0" borderId="66" xfId="4" applyFont="1" applyBorder="1"/>
    <xf numFmtId="165" fontId="20" fillId="0" borderId="23" xfId="4" applyNumberFormat="1" applyFont="1" applyBorder="1"/>
    <xf numFmtId="0" fontId="7" fillId="0" borderId="93" xfId="4" applyBorder="1"/>
    <xf numFmtId="165" fontId="20" fillId="0" borderId="94" xfId="4" applyNumberFormat="1" applyFont="1" applyBorder="1"/>
    <xf numFmtId="0" fontId="7" fillId="5" borderId="0" xfId="4" applyFill="1" applyAlignment="1">
      <alignment vertical="center"/>
    </xf>
    <xf numFmtId="9" fontId="21" fillId="5" borderId="1" xfId="3" applyFont="1" applyFill="1" applyBorder="1" applyAlignment="1">
      <alignment horizontal="center" vertical="center"/>
    </xf>
    <xf numFmtId="0" fontId="3" fillId="6" borderId="95" xfId="5" applyFill="1" applyBorder="1" applyAlignment="1">
      <alignment horizontal="center" vertical="center"/>
    </xf>
    <xf numFmtId="0" fontId="3" fillId="6" borderId="96" xfId="5" applyFill="1" applyBorder="1" applyAlignment="1">
      <alignment horizontal="center" vertical="center"/>
    </xf>
    <xf numFmtId="9" fontId="21" fillId="5" borderId="96" xfId="3" applyFont="1" applyFill="1" applyBorder="1" applyAlignment="1">
      <alignment horizontal="center" vertical="center"/>
    </xf>
    <xf numFmtId="0" fontId="27" fillId="0" borderId="0" xfId="7"/>
    <xf numFmtId="0" fontId="28" fillId="0" borderId="0" xfId="7" applyFont="1" applyAlignment="1">
      <alignment horizontal="center" vertical="center"/>
    </xf>
    <xf numFmtId="0" fontId="29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 wrapText="1"/>
    </xf>
    <xf numFmtId="0" fontId="27" fillId="0" borderId="1" xfId="7" applyBorder="1" applyAlignment="1">
      <alignment horizontal="center"/>
    </xf>
    <xf numFmtId="0" fontId="33" fillId="0" borderId="1" xfId="7" applyFont="1" applyBorder="1" applyAlignment="1">
      <alignment vertical="center" wrapText="1"/>
    </xf>
    <xf numFmtId="0" fontId="27" fillId="0" borderId="1" xfId="7" applyBorder="1"/>
    <xf numFmtId="0" fontId="34" fillId="0" borderId="1" xfId="7" applyFont="1" applyBorder="1" applyAlignment="1">
      <alignment horizontal="right" vertical="center" wrapText="1"/>
    </xf>
    <xf numFmtId="166" fontId="35" fillId="0" borderId="1" xfId="7" applyNumberFormat="1" applyFont="1" applyBorder="1" applyAlignment="1">
      <alignment horizontal="right" vertical="center"/>
    </xf>
    <xf numFmtId="1" fontId="36" fillId="10" borderId="1" xfId="7" applyNumberFormat="1" applyFont="1" applyFill="1" applyBorder="1" applyAlignment="1">
      <alignment horizontal="center" vertical="center"/>
    </xf>
    <xf numFmtId="165" fontId="27" fillId="4" borderId="1" xfId="7" applyNumberFormat="1" applyFill="1" applyBorder="1"/>
    <xf numFmtId="166" fontId="27" fillId="0" borderId="1" xfId="7" applyNumberFormat="1" applyBorder="1"/>
    <xf numFmtId="0" fontId="3" fillId="0" borderId="1" xfId="2" applyBorder="1" applyAlignment="1" applyProtection="1">
      <alignment vertical="center"/>
      <protection locked="0"/>
    </xf>
    <xf numFmtId="1" fontId="27" fillId="2" borderId="1" xfId="7" applyNumberFormat="1" applyFill="1" applyBorder="1" applyAlignment="1">
      <alignment horizontal="center"/>
    </xf>
    <xf numFmtId="165" fontId="2" fillId="0" borderId="0" xfId="7" applyNumberFormat="1" applyFont="1"/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4" fillId="7" borderId="10" xfId="4" applyFont="1" applyFill="1" applyBorder="1" applyAlignment="1">
      <alignment horizontal="center" vertical="center" wrapText="1"/>
    </xf>
    <xf numFmtId="0" fontId="14" fillId="7" borderId="15" xfId="4" applyFont="1" applyFill="1" applyBorder="1" applyAlignment="1">
      <alignment horizontal="center" vertical="center" wrapText="1"/>
    </xf>
    <xf numFmtId="0" fontId="5" fillId="6" borderId="24" xfId="5" applyFont="1" applyFill="1" applyBorder="1" applyAlignment="1">
      <alignment horizontal="center" vertical="center"/>
    </xf>
    <xf numFmtId="0" fontId="5" fillId="6" borderId="25" xfId="5" applyFont="1" applyFill="1" applyBorder="1" applyAlignment="1">
      <alignment horizontal="center" vertical="center"/>
    </xf>
    <xf numFmtId="0" fontId="5" fillId="6" borderId="48" xfId="5" applyFont="1" applyFill="1" applyBorder="1" applyAlignment="1">
      <alignment horizontal="center" vertical="center"/>
    </xf>
    <xf numFmtId="0" fontId="5" fillId="6" borderId="49" xfId="5" applyFont="1" applyFill="1" applyBorder="1" applyAlignment="1">
      <alignment horizontal="center" vertical="center"/>
    </xf>
    <xf numFmtId="0" fontId="5" fillId="6" borderId="18" xfId="5" applyFont="1" applyFill="1" applyBorder="1" applyAlignment="1">
      <alignment horizontal="center" vertical="center"/>
    </xf>
    <xf numFmtId="0" fontId="14" fillId="7" borderId="8" xfId="4" applyFont="1" applyFill="1" applyBorder="1" applyAlignment="1">
      <alignment horizontal="center" vertical="center" wrapText="1"/>
    </xf>
    <xf numFmtId="0" fontId="14" fillId="7" borderId="13" xfId="4" applyFont="1" applyFill="1" applyBorder="1" applyAlignment="1">
      <alignment horizontal="center" vertical="center" wrapText="1"/>
    </xf>
    <xf numFmtId="0" fontId="14" fillId="7" borderId="9" xfId="4" applyFont="1" applyFill="1" applyBorder="1" applyAlignment="1">
      <alignment horizontal="center" vertical="center" wrapText="1"/>
    </xf>
    <xf numFmtId="0" fontId="14" fillId="7" borderId="14" xfId="4" applyFont="1" applyFill="1" applyBorder="1" applyAlignment="1">
      <alignment horizontal="center" vertical="center" wrapText="1"/>
    </xf>
    <xf numFmtId="0" fontId="3" fillId="6" borderId="28" xfId="5" applyFill="1" applyBorder="1" applyAlignment="1">
      <alignment vertical="center" wrapText="1"/>
    </xf>
    <xf numFmtId="0" fontId="3" fillId="6" borderId="29" xfId="5" applyFill="1" applyBorder="1" applyAlignment="1">
      <alignment vertical="center" wrapText="1"/>
    </xf>
    <xf numFmtId="0" fontId="3" fillId="6" borderId="31" xfId="5" applyFill="1" applyBorder="1" applyAlignment="1">
      <alignment vertical="center" wrapText="1"/>
    </xf>
    <xf numFmtId="0" fontId="3" fillId="6" borderId="32" xfId="5" applyFill="1" applyBorder="1" applyAlignment="1">
      <alignment vertical="center" wrapText="1"/>
    </xf>
    <xf numFmtId="0" fontId="3" fillId="6" borderId="35" xfId="5" applyFill="1" applyBorder="1" applyAlignment="1">
      <alignment vertical="center" wrapText="1"/>
    </xf>
    <xf numFmtId="0" fontId="3" fillId="6" borderId="36" xfId="5" applyFill="1" applyBorder="1" applyAlignment="1">
      <alignment vertical="center" wrapText="1"/>
    </xf>
    <xf numFmtId="0" fontId="18" fillId="6" borderId="16" xfId="5" applyFont="1" applyFill="1" applyBorder="1" applyAlignment="1">
      <alignment horizontal="left" vertical="center" wrapText="1"/>
    </xf>
    <xf numFmtId="0" fontId="18" fillId="6" borderId="17" xfId="5" applyFont="1" applyFill="1" applyBorder="1" applyAlignment="1">
      <alignment horizontal="left" vertical="center" wrapText="1"/>
    </xf>
    <xf numFmtId="0" fontId="18" fillId="6" borderId="40" xfId="5" applyFont="1" applyFill="1" applyBorder="1" applyAlignment="1">
      <alignment horizontal="left" vertical="center" wrapText="1"/>
    </xf>
    <xf numFmtId="0" fontId="5" fillId="6" borderId="46" xfId="5" applyFont="1" applyFill="1" applyBorder="1" applyAlignment="1">
      <alignment horizontal="center" vertical="center"/>
    </xf>
    <xf numFmtId="0" fontId="5" fillId="6" borderId="47" xfId="5" applyFont="1" applyFill="1" applyBorder="1" applyAlignment="1">
      <alignment horizontal="center" vertical="center"/>
    </xf>
    <xf numFmtId="0" fontId="3" fillId="6" borderId="51" xfId="5" applyFill="1" applyBorder="1" applyAlignment="1">
      <alignment vertical="center" wrapText="1"/>
    </xf>
    <xf numFmtId="0" fontId="3" fillId="6" borderId="52" xfId="5" applyFill="1" applyBorder="1" applyAlignment="1">
      <alignment vertical="center" wrapText="1"/>
    </xf>
    <xf numFmtId="0" fontId="3" fillId="6" borderId="55" xfId="5" applyFill="1" applyBorder="1" applyAlignment="1">
      <alignment vertical="center" wrapText="1"/>
    </xf>
    <xf numFmtId="0" fontId="3" fillId="6" borderId="56" xfId="5" applyFill="1" applyBorder="1" applyAlignment="1">
      <alignment vertical="center" wrapText="1"/>
    </xf>
    <xf numFmtId="0" fontId="14" fillId="7" borderId="57" xfId="4" applyFont="1" applyFill="1" applyBorder="1" applyAlignment="1">
      <alignment horizontal="center" vertical="center" wrapText="1"/>
    </xf>
    <xf numFmtId="0" fontId="14" fillId="7" borderId="60" xfId="4" applyFont="1" applyFill="1" applyBorder="1" applyAlignment="1">
      <alignment horizontal="center" vertical="center" wrapText="1"/>
    </xf>
    <xf numFmtId="0" fontId="14" fillId="7" borderId="58" xfId="4" applyFont="1" applyFill="1" applyBorder="1" applyAlignment="1">
      <alignment horizontal="center" vertical="center" wrapText="1"/>
    </xf>
    <xf numFmtId="0" fontId="14" fillId="7" borderId="23" xfId="4" applyFont="1" applyFill="1" applyBorder="1" applyAlignment="1">
      <alignment horizontal="center" vertical="center" wrapText="1"/>
    </xf>
    <xf numFmtId="0" fontId="5" fillId="6" borderId="72" xfId="5" applyFont="1" applyFill="1" applyBorder="1" applyAlignment="1">
      <alignment horizontal="center" vertical="center"/>
    </xf>
    <xf numFmtId="0" fontId="5" fillId="6" borderId="40" xfId="5" applyFont="1" applyFill="1" applyBorder="1" applyAlignment="1">
      <alignment horizontal="center" vertical="center"/>
    </xf>
    <xf numFmtId="0" fontId="14" fillId="7" borderId="59" xfId="4" applyFont="1" applyFill="1" applyBorder="1" applyAlignment="1">
      <alignment horizontal="center" vertical="center" wrapText="1"/>
    </xf>
    <xf numFmtId="0" fontId="14" fillId="7" borderId="61" xfId="4" applyFont="1" applyFill="1" applyBorder="1" applyAlignment="1">
      <alignment horizontal="center" vertical="center" wrapText="1"/>
    </xf>
    <xf numFmtId="0" fontId="3" fillId="6" borderId="69" xfId="5" applyFill="1" applyBorder="1" applyAlignment="1">
      <alignment vertical="center" wrapText="1"/>
    </xf>
    <xf numFmtId="0" fontId="3" fillId="6" borderId="70" xfId="5" applyFill="1" applyBorder="1" applyAlignment="1">
      <alignment vertical="center" wrapText="1"/>
    </xf>
    <xf numFmtId="0" fontId="16" fillId="6" borderId="37" xfId="5" applyFont="1" applyFill="1" applyBorder="1" applyAlignment="1">
      <alignment vertical="center"/>
    </xf>
    <xf numFmtId="0" fontId="16" fillId="6" borderId="38" xfId="5" applyFont="1" applyFill="1" applyBorder="1" applyAlignment="1">
      <alignment vertical="center"/>
    </xf>
    <xf numFmtId="0" fontId="16" fillId="6" borderId="39" xfId="5" applyFont="1" applyFill="1" applyBorder="1" applyAlignment="1">
      <alignment vertical="center"/>
    </xf>
    <xf numFmtId="0" fontId="23" fillId="9" borderId="59" xfId="4" applyFont="1" applyFill="1" applyBorder="1" applyAlignment="1">
      <alignment horizontal="center" vertical="center" wrapText="1"/>
    </xf>
    <xf numFmtId="0" fontId="23" fillId="9" borderId="79" xfId="4" applyFont="1" applyFill="1" applyBorder="1" applyAlignment="1">
      <alignment horizontal="center" vertical="center" wrapText="1"/>
    </xf>
    <xf numFmtId="0" fontId="23" fillId="9" borderId="61" xfId="4" applyFont="1" applyFill="1" applyBorder="1" applyAlignment="1">
      <alignment horizontal="center" vertical="center" wrapText="1"/>
    </xf>
    <xf numFmtId="0" fontId="14" fillId="9" borderId="57" xfId="4" applyFont="1" applyFill="1" applyBorder="1" applyAlignment="1">
      <alignment horizontal="center" vertical="center" wrapText="1"/>
    </xf>
    <xf numFmtId="0" fontId="14" fillId="9" borderId="77" xfId="4" applyFont="1" applyFill="1" applyBorder="1" applyAlignment="1">
      <alignment horizontal="center" vertical="center" wrapText="1"/>
    </xf>
    <xf numFmtId="0" fontId="14" fillId="9" borderId="60" xfId="4" applyFont="1" applyFill="1" applyBorder="1" applyAlignment="1">
      <alignment horizontal="center" vertical="center" wrapText="1"/>
    </xf>
    <xf numFmtId="0" fontId="14" fillId="9" borderId="58" xfId="4" applyFont="1" applyFill="1" applyBorder="1" applyAlignment="1">
      <alignment horizontal="center" vertical="center" wrapText="1"/>
    </xf>
    <xf numFmtId="0" fontId="14" fillId="9" borderId="78" xfId="4" applyFont="1" applyFill="1" applyBorder="1" applyAlignment="1">
      <alignment horizontal="center" vertical="center" wrapText="1"/>
    </xf>
    <xf numFmtId="0" fontId="14" fillId="9" borderId="23" xfId="4" applyFont="1" applyFill="1" applyBorder="1" applyAlignment="1">
      <alignment horizontal="center" vertical="center" wrapText="1"/>
    </xf>
    <xf numFmtId="0" fontId="24" fillId="9" borderId="58" xfId="4" applyFont="1" applyFill="1" applyBorder="1" applyAlignment="1">
      <alignment horizontal="center" vertical="center" wrapText="1"/>
    </xf>
    <xf numFmtId="0" fontId="24" fillId="9" borderId="78" xfId="4" applyFont="1" applyFill="1" applyBorder="1" applyAlignment="1">
      <alignment horizontal="center" vertical="center" wrapText="1"/>
    </xf>
    <xf numFmtId="0" fontId="24" fillId="9" borderId="23" xfId="4" applyFont="1" applyFill="1" applyBorder="1" applyAlignment="1">
      <alignment horizontal="center" vertical="center" wrapText="1"/>
    </xf>
    <xf numFmtId="0" fontId="23" fillId="9" borderId="58" xfId="4" applyFont="1" applyFill="1" applyBorder="1" applyAlignment="1">
      <alignment horizontal="center" vertical="center" wrapText="1"/>
    </xf>
    <xf numFmtId="0" fontId="23" fillId="9" borderId="78" xfId="4" applyFont="1" applyFill="1" applyBorder="1" applyAlignment="1">
      <alignment horizontal="center" vertical="center" wrapText="1"/>
    </xf>
    <xf numFmtId="0" fontId="23" fillId="9" borderId="23" xfId="4" applyFont="1" applyFill="1" applyBorder="1" applyAlignment="1">
      <alignment horizontal="center" vertical="center" wrapText="1"/>
    </xf>
    <xf numFmtId="0" fontId="18" fillId="6" borderId="97" xfId="5" applyFont="1" applyFill="1" applyBorder="1" applyAlignment="1">
      <alignment vertical="center" wrapText="1"/>
    </xf>
    <xf numFmtId="0" fontId="18" fillId="6" borderId="98" xfId="5" applyFont="1" applyFill="1" applyBorder="1" applyAlignment="1">
      <alignment vertical="center" wrapText="1"/>
    </xf>
    <xf numFmtId="0" fontId="3" fillId="6" borderId="73" xfId="5" applyFill="1" applyBorder="1" applyAlignment="1">
      <alignment horizontal="center" vertical="center"/>
    </xf>
    <xf numFmtId="0" fontId="3" fillId="6" borderId="80" xfId="5" applyFill="1" applyBorder="1" applyAlignment="1">
      <alignment horizontal="center" vertical="center"/>
    </xf>
    <xf numFmtId="0" fontId="3" fillId="6" borderId="85" xfId="5" applyFill="1" applyBorder="1" applyAlignment="1">
      <alignment horizontal="center" vertical="center"/>
    </xf>
    <xf numFmtId="0" fontId="18" fillId="6" borderId="75" xfId="5" applyFont="1" applyFill="1" applyBorder="1" applyAlignment="1">
      <alignment vertical="center" wrapText="1"/>
    </xf>
    <xf numFmtId="0" fontId="18" fillId="6" borderId="76" xfId="5" applyFont="1" applyFill="1" applyBorder="1" applyAlignment="1">
      <alignment vertical="center" wrapText="1"/>
    </xf>
    <xf numFmtId="0" fontId="18" fillId="6" borderId="81" xfId="5" applyFont="1" applyFill="1" applyBorder="1" applyAlignment="1">
      <alignment vertical="center" wrapText="1"/>
    </xf>
    <xf numFmtId="0" fontId="18" fillId="6" borderId="82" xfId="5" applyFont="1" applyFill="1" applyBorder="1" applyAlignment="1">
      <alignment vertical="center" wrapText="1"/>
    </xf>
    <xf numFmtId="0" fontId="18" fillId="6" borderId="83" xfId="5" applyFont="1" applyFill="1" applyBorder="1" applyAlignment="1">
      <alignment vertical="center" wrapText="1"/>
    </xf>
    <xf numFmtId="0" fontId="18" fillId="6" borderId="84" xfId="5" applyFont="1" applyFill="1" applyBorder="1" applyAlignment="1">
      <alignment vertical="center" wrapText="1"/>
    </xf>
    <xf numFmtId="0" fontId="18" fillId="6" borderId="87" xfId="5" applyFont="1" applyFill="1" applyBorder="1" applyAlignment="1">
      <alignment vertical="center" wrapText="1"/>
    </xf>
    <xf numFmtId="0" fontId="18" fillId="6" borderId="88" xfId="5" applyFont="1" applyFill="1" applyBorder="1" applyAlignment="1">
      <alignment vertical="center" wrapText="1"/>
    </xf>
    <xf numFmtId="0" fontId="18" fillId="6" borderId="91" xfId="5" applyFont="1" applyFill="1" applyBorder="1" applyAlignment="1">
      <alignment vertical="center" wrapText="1"/>
    </xf>
    <xf numFmtId="0" fontId="18" fillId="6" borderId="92" xfId="5" applyFont="1" applyFill="1" applyBorder="1" applyAlignment="1">
      <alignment vertical="center" wrapText="1"/>
    </xf>
    <xf numFmtId="0" fontId="28" fillId="0" borderId="0" xfId="7" applyFont="1" applyAlignment="1">
      <alignment horizontal="center" vertical="center"/>
    </xf>
    <xf numFmtId="0" fontId="28" fillId="0" borderId="99" xfId="7" applyFont="1" applyBorder="1" applyAlignment="1">
      <alignment horizontal="center" vertical="center"/>
    </xf>
    <xf numFmtId="0" fontId="37" fillId="0" borderId="0" xfId="2" applyFont="1" applyAlignment="1">
      <alignment horizontal="center"/>
    </xf>
    <xf numFmtId="0" fontId="37" fillId="0" borderId="0" xfId="2" applyFont="1" applyAlignment="1">
      <alignment horizontal="center"/>
    </xf>
    <xf numFmtId="0" fontId="16" fillId="0" borderId="8" xfId="2" applyFont="1" applyBorder="1"/>
    <xf numFmtId="0" fontId="6" fillId="11" borderId="9" xfId="2" applyFont="1" applyFill="1" applyBorder="1" applyAlignment="1">
      <alignment horizontal="center" vertical="center" wrapText="1"/>
    </xf>
    <xf numFmtId="0" fontId="6" fillId="11" borderId="10" xfId="2" applyFont="1" applyFill="1" applyBorder="1" applyAlignment="1">
      <alignment horizontal="center" vertical="center" wrapText="1"/>
    </xf>
    <xf numFmtId="0" fontId="3" fillId="0" borderId="26" xfId="2" applyBorder="1" applyAlignment="1">
      <alignment vertical="top" wrapText="1"/>
    </xf>
    <xf numFmtId="0" fontId="3" fillId="4" borderId="1" xfId="2" applyFill="1" applyBorder="1" applyAlignment="1">
      <alignment horizontal="center"/>
    </xf>
    <xf numFmtId="1" fontId="3" fillId="12" borderId="1" xfId="2" applyNumberFormat="1" applyFill="1" applyBorder="1"/>
    <xf numFmtId="166" fontId="3" fillId="0" borderId="1" xfId="2" applyNumberFormat="1" applyBorder="1" applyAlignment="1">
      <alignment horizontal="center"/>
    </xf>
    <xf numFmtId="165" fontId="3" fillId="0" borderId="90" xfId="2" applyNumberFormat="1" applyBorder="1" applyAlignment="1">
      <alignment horizontal="center"/>
    </xf>
    <xf numFmtId="0" fontId="3" fillId="0" borderId="0" xfId="2" applyAlignment="1">
      <alignment horizontal="left"/>
    </xf>
    <xf numFmtId="0" fontId="3" fillId="0" borderId="60" xfId="2" applyBorder="1" applyAlignment="1">
      <alignment vertical="top" wrapText="1"/>
    </xf>
    <xf numFmtId="0" fontId="3" fillId="13" borderId="23" xfId="2" applyFill="1" applyBorder="1" applyAlignment="1">
      <alignment horizontal="center"/>
    </xf>
    <xf numFmtId="1" fontId="3" fillId="12" borderId="23" xfId="2" applyNumberFormat="1" applyFill="1" applyBorder="1"/>
    <xf numFmtId="166" fontId="3" fillId="0" borderId="23" xfId="2" applyNumberFormat="1" applyBorder="1" applyAlignment="1">
      <alignment horizontal="center"/>
    </xf>
    <xf numFmtId="165" fontId="3" fillId="0" borderId="61" xfId="2" applyNumberFormat="1" applyBorder="1" applyAlignment="1">
      <alignment horizontal="center"/>
    </xf>
    <xf numFmtId="1" fontId="5" fillId="0" borderId="0" xfId="2" applyNumberFormat="1" applyFont="1"/>
    <xf numFmtId="165" fontId="5" fillId="0" borderId="0" xfId="2" applyNumberFormat="1" applyFont="1" applyAlignment="1">
      <alignment horizontal="center"/>
    </xf>
    <xf numFmtId="1" fontId="3" fillId="14" borderId="1" xfId="2" applyNumberFormat="1" applyFill="1" applyBorder="1"/>
    <xf numFmtId="166" fontId="3" fillId="0" borderId="1" xfId="2" applyNumberFormat="1" applyBorder="1"/>
    <xf numFmtId="165" fontId="3" fillId="0" borderId="90" xfId="2" applyNumberFormat="1" applyBorder="1"/>
    <xf numFmtId="0" fontId="3" fillId="0" borderId="13" xfId="2" applyBorder="1" applyAlignment="1">
      <alignment vertical="top" wrapText="1"/>
    </xf>
    <xf numFmtId="0" fontId="3" fillId="0" borderId="14" xfId="2" applyBorder="1"/>
    <xf numFmtId="1" fontId="3" fillId="0" borderId="14" xfId="2" applyNumberFormat="1" applyBorder="1"/>
    <xf numFmtId="166" fontId="3" fillId="0" borderId="14" xfId="2" applyNumberFormat="1" applyBorder="1"/>
    <xf numFmtId="165" fontId="3" fillId="0" borderId="15" xfId="2" applyNumberFormat="1" applyBorder="1"/>
    <xf numFmtId="0" fontId="3" fillId="4" borderId="0" xfId="2" applyFill="1"/>
    <xf numFmtId="0" fontId="3" fillId="13" borderId="0" xfId="2" applyFill="1"/>
    <xf numFmtId="0" fontId="16" fillId="0" borderId="100" xfId="2" applyFont="1" applyBorder="1"/>
    <xf numFmtId="0" fontId="3" fillId="0" borderId="101" xfId="2" applyBorder="1"/>
    <xf numFmtId="0" fontId="5" fillId="0" borderId="101" xfId="2" applyFont="1" applyBorder="1" applyAlignment="1">
      <alignment horizontal="right"/>
    </xf>
    <xf numFmtId="49" fontId="38" fillId="0" borderId="102" xfId="2" applyNumberFormat="1" applyFont="1" applyBorder="1" applyAlignment="1">
      <alignment horizontal="center"/>
    </xf>
    <xf numFmtId="0" fontId="3" fillId="0" borderId="103" xfId="2" applyBorder="1" applyAlignment="1">
      <alignment horizontal="justify"/>
    </xf>
    <xf numFmtId="0" fontId="3" fillId="0" borderId="104" xfId="2" applyBorder="1"/>
    <xf numFmtId="0" fontId="3" fillId="0" borderId="103" xfId="2" applyBorder="1" applyAlignment="1">
      <alignment horizontal="left"/>
    </xf>
    <xf numFmtId="0" fontId="3" fillId="0" borderId="0" xfId="2" applyAlignment="1">
      <alignment horizontal="left"/>
    </xf>
    <xf numFmtId="1" fontId="5" fillId="2" borderId="0" xfId="2" applyNumberFormat="1" applyFont="1" applyFill="1" applyAlignment="1">
      <alignment horizontal="left"/>
    </xf>
    <xf numFmtId="0" fontId="3" fillId="0" borderId="103" xfId="2" applyBorder="1" applyAlignment="1">
      <alignment horizontal="left"/>
    </xf>
    <xf numFmtId="0" fontId="3" fillId="2" borderId="104" xfId="2" applyFill="1" applyBorder="1" applyAlignment="1">
      <alignment horizontal="left"/>
    </xf>
    <xf numFmtId="9" fontId="3" fillId="0" borderId="0" xfId="3" applyFont="1" applyBorder="1"/>
    <xf numFmtId="0" fontId="3" fillId="0" borderId="0" xfId="2" applyAlignment="1">
      <alignment horizontal="right"/>
    </xf>
    <xf numFmtId="0" fontId="16" fillId="0" borderId="103" xfId="2" applyFont="1" applyBorder="1" applyAlignment="1">
      <alignment horizontal="left"/>
    </xf>
    <xf numFmtId="0" fontId="39" fillId="0" borderId="0" xfId="2" applyFont="1" applyAlignment="1">
      <alignment horizontal="center"/>
    </xf>
    <xf numFmtId="0" fontId="39" fillId="0" borderId="103" xfId="2" applyFont="1" applyBorder="1"/>
    <xf numFmtId="0" fontId="39" fillId="0" borderId="104" xfId="2" applyFont="1" applyBorder="1" applyAlignment="1">
      <alignment horizontal="center"/>
    </xf>
    <xf numFmtId="0" fontId="6" fillId="0" borderId="0" xfId="2" applyFont="1" applyAlignment="1">
      <alignment horizontal="center" vertical="center" wrapText="1"/>
    </xf>
    <xf numFmtId="167" fontId="3" fillId="0" borderId="0" xfId="8" applyNumberFormat="1" applyFont="1" applyFill="1" applyBorder="1"/>
    <xf numFmtId="1" fontId="3" fillId="0" borderId="1" xfId="2" applyNumberFormat="1" applyBorder="1"/>
    <xf numFmtId="2" fontId="3" fillId="0" borderId="1" xfId="2" applyNumberFormat="1" applyBorder="1"/>
    <xf numFmtId="0" fontId="21" fillId="0" borderId="103" xfId="2" applyFont="1" applyBorder="1"/>
    <xf numFmtId="0" fontId="16" fillId="0" borderId="105" xfId="2" applyFont="1" applyBorder="1"/>
    <xf numFmtId="0" fontId="3" fillId="0" borderId="106" xfId="2" applyBorder="1"/>
    <xf numFmtId="0" fontId="3" fillId="0" borderId="107" xfId="2" applyBorder="1"/>
    <xf numFmtId="0" fontId="16" fillId="15" borderId="8" xfId="2" applyFont="1" applyFill="1" applyBorder="1"/>
    <xf numFmtId="167" fontId="3" fillId="0" borderId="1" xfId="8" applyNumberFormat="1" applyFont="1" applyBorder="1"/>
    <xf numFmtId="167" fontId="3" fillId="0" borderId="90" xfId="8" applyNumberFormat="1" applyFont="1" applyBorder="1"/>
    <xf numFmtId="165" fontId="5" fillId="0" borderId="14" xfId="2" applyNumberFormat="1" applyFont="1" applyBorder="1"/>
    <xf numFmtId="167" fontId="3" fillId="0" borderId="14" xfId="8" applyNumberFormat="1" applyFont="1" applyBorder="1"/>
    <xf numFmtId="167" fontId="3" fillId="0" borderId="15" xfId="8" applyNumberFormat="1" applyFont="1" applyBorder="1"/>
    <xf numFmtId="0" fontId="3" fillId="2" borderId="1" xfId="2" applyFill="1" applyBorder="1"/>
    <xf numFmtId="1" fontId="3" fillId="2" borderId="1" xfId="2" applyNumberFormat="1" applyFill="1" applyBorder="1"/>
    <xf numFmtId="14" fontId="3" fillId="0" borderId="0" xfId="2" applyNumberFormat="1"/>
    <xf numFmtId="0" fontId="3" fillId="2" borderId="34" xfId="2" applyFill="1" applyBorder="1"/>
    <xf numFmtId="1" fontId="3" fillId="0" borderId="34" xfId="2" applyNumberFormat="1" applyBorder="1"/>
    <xf numFmtId="0" fontId="5" fillId="0" borderId="108" xfId="2" applyFont="1" applyBorder="1" applyAlignment="1">
      <alignment horizontal="right" vertical="top" wrapText="1"/>
    </xf>
    <xf numFmtId="0" fontId="5" fillId="0" borderId="109" xfId="2" applyFont="1" applyBorder="1" applyAlignment="1">
      <alignment horizontal="right" vertical="top" wrapText="1"/>
    </xf>
    <xf numFmtId="0" fontId="5" fillId="0" borderId="110" xfId="2" applyFont="1" applyBorder="1" applyAlignment="1">
      <alignment horizontal="right" vertical="top" wrapText="1"/>
    </xf>
    <xf numFmtId="165" fontId="5" fillId="0" borderId="15" xfId="2" applyNumberFormat="1" applyFont="1" applyBorder="1"/>
    <xf numFmtId="0" fontId="3" fillId="2" borderId="0" xfId="2" applyFill="1"/>
    <xf numFmtId="1" fontId="5" fillId="7" borderId="104" xfId="2" applyNumberFormat="1" applyFont="1" applyFill="1" applyBorder="1" applyAlignment="1">
      <alignment horizontal="center"/>
    </xf>
    <xf numFmtId="166" fontId="3" fillId="7" borderId="0" xfId="2" applyNumberFormat="1" applyFill="1"/>
    <xf numFmtId="0" fontId="3" fillId="4" borderId="1" xfId="2" applyFill="1" applyBorder="1"/>
    <xf numFmtId="9" fontId="3" fillId="7" borderId="104" xfId="3" applyFont="1" applyFill="1" applyBorder="1"/>
    <xf numFmtId="165" fontId="5" fillId="7" borderId="1" xfId="2" applyNumberFormat="1" applyFont="1" applyFill="1" applyBorder="1"/>
    <xf numFmtId="0" fontId="3" fillId="0" borderId="0" xfId="9"/>
    <xf numFmtId="0" fontId="41" fillId="0" borderId="0" xfId="9" applyFont="1" applyAlignment="1">
      <alignment horizontal="left"/>
    </xf>
    <xf numFmtId="0" fontId="3" fillId="0" borderId="0" xfId="9" applyAlignment="1">
      <alignment horizontal="left"/>
    </xf>
    <xf numFmtId="0" fontId="42" fillId="0" borderId="0" xfId="9" applyFont="1" applyAlignment="1">
      <alignment horizontal="left"/>
    </xf>
    <xf numFmtId="0" fontId="3" fillId="0" borderId="100" xfId="9" applyBorder="1"/>
    <xf numFmtId="0" fontId="38" fillId="0" borderId="101" xfId="9" applyFont="1" applyBorder="1" applyAlignment="1">
      <alignment horizontal="left"/>
    </xf>
    <xf numFmtId="0" fontId="43" fillId="0" borderId="101" xfId="9" applyFont="1" applyBorder="1" applyAlignment="1">
      <alignment horizontal="left"/>
    </xf>
    <xf numFmtId="14" fontId="5" fillId="4" borderId="101" xfId="9" applyNumberFormat="1" applyFont="1" applyFill="1" applyBorder="1" applyAlignment="1">
      <alignment horizontal="left"/>
    </xf>
    <xf numFmtId="0" fontId="3" fillId="0" borderId="101" xfId="9" applyBorder="1"/>
    <xf numFmtId="0" fontId="3" fillId="0" borderId="102" xfId="9" applyBorder="1"/>
    <xf numFmtId="0" fontId="3" fillId="0" borderId="103" xfId="9" applyBorder="1"/>
    <xf numFmtId="0" fontId="5" fillId="0" borderId="111" xfId="9" applyFont="1" applyBorder="1" applyAlignment="1">
      <alignment horizontal="center"/>
    </xf>
    <xf numFmtId="0" fontId="3" fillId="0" borderId="112" xfId="9" applyBorder="1" applyAlignment="1">
      <alignment horizontal="center"/>
    </xf>
    <xf numFmtId="0" fontId="3" fillId="0" borderId="113" xfId="9" applyBorder="1" applyAlignment="1">
      <alignment horizontal="center"/>
    </xf>
    <xf numFmtId="0" fontId="3" fillId="0" borderId="0" xfId="9" applyAlignment="1">
      <alignment horizontal="center"/>
    </xf>
    <xf numFmtId="0" fontId="3" fillId="0" borderId="114" xfId="9" applyBorder="1"/>
    <xf numFmtId="0" fontId="5" fillId="0" borderId="113" xfId="9" applyFont="1" applyBorder="1" applyAlignment="1">
      <alignment horizontal="center"/>
    </xf>
    <xf numFmtId="0" fontId="3" fillId="0" borderId="104" xfId="9" applyBorder="1"/>
    <xf numFmtId="0" fontId="5" fillId="16" borderId="0" xfId="9" applyFont="1" applyFill="1" applyAlignment="1">
      <alignment horizontal="center"/>
    </xf>
    <xf numFmtId="0" fontId="5" fillId="16" borderId="115" xfId="9" applyFont="1" applyFill="1" applyBorder="1" applyAlignment="1">
      <alignment horizontal="center"/>
    </xf>
    <xf numFmtId="0" fontId="3" fillId="17" borderId="116" xfId="9" applyFill="1" applyBorder="1" applyAlignment="1">
      <alignment horizontal="center"/>
    </xf>
    <xf numFmtId="0" fontId="3" fillId="17" borderId="20" xfId="9" applyFill="1" applyBorder="1" applyAlignment="1">
      <alignment horizontal="center"/>
    </xf>
    <xf numFmtId="0" fontId="3" fillId="17" borderId="117" xfId="9" applyFill="1" applyBorder="1" applyAlignment="1">
      <alignment horizontal="center"/>
    </xf>
    <xf numFmtId="0" fontId="5" fillId="17" borderId="118" xfId="9" applyFont="1" applyFill="1" applyBorder="1" applyAlignment="1">
      <alignment horizontal="center"/>
    </xf>
    <xf numFmtId="0" fontId="3" fillId="0" borderId="119" xfId="9" applyBorder="1"/>
    <xf numFmtId="168" fontId="3" fillId="4" borderId="120" xfId="9" applyNumberFormat="1" applyFill="1" applyBorder="1"/>
    <xf numFmtId="0" fontId="3" fillId="0" borderId="122" xfId="9" applyBorder="1"/>
    <xf numFmtId="168" fontId="3" fillId="4" borderId="123" xfId="9" applyNumberFormat="1" applyFill="1" applyBorder="1"/>
    <xf numFmtId="0" fontId="5" fillId="0" borderId="0" xfId="9" applyFont="1" applyAlignment="1">
      <alignment horizontal="center"/>
    </xf>
    <xf numFmtId="0" fontId="5" fillId="0" borderId="0" xfId="9" applyFont="1"/>
    <xf numFmtId="0" fontId="44" fillId="0" borderId="0" xfId="9" applyFont="1" applyAlignment="1">
      <alignment horizontal="left"/>
    </xf>
    <xf numFmtId="0" fontId="5" fillId="0" borderId="0" xfId="9" applyFont="1" applyAlignment="1">
      <alignment horizontal="center"/>
    </xf>
    <xf numFmtId="0" fontId="3" fillId="0" borderId="0" xfId="9" applyAlignment="1">
      <alignment horizontal="center"/>
    </xf>
    <xf numFmtId="165" fontId="3" fillId="0" borderId="0" xfId="9" applyNumberFormat="1" applyAlignment="1">
      <alignment horizontal="right"/>
    </xf>
    <xf numFmtId="0" fontId="5" fillId="2" borderId="0" xfId="9" applyFont="1" applyFill="1"/>
    <xf numFmtId="1" fontId="3" fillId="0" borderId="0" xfId="9" applyNumberFormat="1"/>
    <xf numFmtId="165" fontId="3" fillId="0" borderId="0" xfId="9" applyNumberFormat="1"/>
    <xf numFmtId="0" fontId="45" fillId="0" borderId="0" xfId="9" applyFont="1"/>
    <xf numFmtId="167" fontId="3" fillId="0" borderId="0" xfId="8" applyNumberFormat="1" applyFont="1"/>
    <xf numFmtId="1" fontId="5" fillId="0" borderId="0" xfId="9" applyNumberFormat="1" applyFont="1"/>
    <xf numFmtId="1" fontId="5" fillId="2" borderId="0" xfId="9" applyNumberFormat="1" applyFont="1" applyFill="1"/>
    <xf numFmtId="0" fontId="3" fillId="2" borderId="0" xfId="9" applyFill="1"/>
    <xf numFmtId="9" fontId="5" fillId="0" borderId="0" xfId="3" applyFont="1"/>
    <xf numFmtId="0" fontId="3" fillId="0" borderId="66" xfId="9" applyBorder="1"/>
    <xf numFmtId="0" fontId="3" fillId="0" borderId="67" xfId="9" applyBorder="1"/>
    <xf numFmtId="0" fontId="3" fillId="0" borderId="94" xfId="9" applyBorder="1"/>
    <xf numFmtId="0" fontId="5" fillId="0" borderId="101" xfId="9" applyFont="1" applyBorder="1" applyAlignment="1">
      <alignment horizontal="left"/>
    </xf>
    <xf numFmtId="0" fontId="5" fillId="16" borderId="114" xfId="9" applyFont="1" applyFill="1" applyBorder="1" applyAlignment="1">
      <alignment horizontal="center"/>
    </xf>
    <xf numFmtId="3" fontId="3" fillId="0" borderId="120" xfId="9" applyNumberFormat="1" applyBorder="1" applyAlignment="1">
      <alignment horizontal="center"/>
    </xf>
    <xf numFmtId="165" fontId="3" fillId="0" borderId="121" xfId="9" applyNumberFormat="1" applyBorder="1"/>
    <xf numFmtId="2" fontId="3" fillId="4" borderId="120" xfId="9" applyNumberFormat="1" applyFill="1" applyBorder="1"/>
    <xf numFmtId="2" fontId="3" fillId="0" borderId="121" xfId="9" applyNumberFormat="1" applyBorder="1"/>
    <xf numFmtId="165" fontId="5" fillId="0" borderId="121" xfId="9" applyNumberFormat="1" applyFont="1" applyBorder="1"/>
    <xf numFmtId="3" fontId="3" fillId="0" borderId="123" xfId="9" applyNumberFormat="1" applyBorder="1" applyAlignment="1">
      <alignment horizontal="center"/>
    </xf>
    <xf numFmtId="165" fontId="3" fillId="0" borderId="124" xfId="9" applyNumberFormat="1" applyBorder="1"/>
    <xf numFmtId="2" fontId="3" fillId="4" borderId="123" xfId="9" applyNumberFormat="1" applyFill="1" applyBorder="1"/>
    <xf numFmtId="2" fontId="3" fillId="0" borderId="124" xfId="9" applyNumberFormat="1" applyBorder="1"/>
    <xf numFmtId="165" fontId="5" fillId="0" borderId="124" xfId="9" applyNumberFormat="1" applyFont="1" applyBorder="1"/>
    <xf numFmtId="49" fontId="3" fillId="0" borderId="0" xfId="9" applyNumberFormat="1"/>
    <xf numFmtId="0" fontId="38" fillId="18" borderId="103" xfId="9" applyFont="1" applyFill="1" applyBorder="1" applyAlignment="1">
      <alignment horizontal="center" vertical="center"/>
    </xf>
    <xf numFmtId="0" fontId="38" fillId="18" borderId="0" xfId="9" applyFont="1" applyFill="1" applyAlignment="1">
      <alignment horizontal="center" vertical="center"/>
    </xf>
    <xf numFmtId="0" fontId="38" fillId="0" borderId="125" xfId="9" applyFont="1" applyBorder="1" applyAlignment="1">
      <alignment horizontal="left"/>
    </xf>
    <xf numFmtId="0" fontId="43" fillId="0" borderId="125" xfId="9" applyFont="1" applyBorder="1" applyAlignment="1">
      <alignment horizontal="left"/>
    </xf>
    <xf numFmtId="0" fontId="46" fillId="19" borderId="126" xfId="9" applyFont="1" applyFill="1" applyBorder="1" applyAlignment="1">
      <alignment horizontal="center"/>
    </xf>
    <xf numFmtId="0" fontId="46" fillId="19" borderId="127" xfId="9" applyFont="1" applyFill="1" applyBorder="1" applyAlignment="1">
      <alignment horizontal="center"/>
    </xf>
    <xf numFmtId="0" fontId="46" fillId="19" borderId="128" xfId="9" applyFont="1" applyFill="1" applyBorder="1" applyAlignment="1">
      <alignment horizontal="center"/>
    </xf>
    <xf numFmtId="0" fontId="5" fillId="4" borderId="0" xfId="9" applyFont="1" applyFill="1" applyAlignment="1">
      <alignment horizontal="center" wrapText="1"/>
    </xf>
    <xf numFmtId="0" fontId="3" fillId="19" borderId="129" xfId="9" applyFill="1" applyBorder="1" applyAlignment="1">
      <alignment horizontal="center" vertical="center"/>
    </xf>
    <xf numFmtId="0" fontId="3" fillId="19" borderId="78" xfId="9" applyFill="1" applyBorder="1" applyAlignment="1">
      <alignment horizontal="center" vertical="center"/>
    </xf>
    <xf numFmtId="0" fontId="3" fillId="19" borderId="130" xfId="9" applyFill="1" applyBorder="1" applyAlignment="1">
      <alignment horizontal="center" vertical="center"/>
    </xf>
    <xf numFmtId="0" fontId="3" fillId="19" borderId="131" xfId="9" applyFill="1" applyBorder="1" applyAlignment="1">
      <alignment horizontal="center" vertical="center"/>
    </xf>
    <xf numFmtId="0" fontId="39" fillId="19" borderId="118" xfId="9" applyFont="1" applyFill="1" applyBorder="1" applyAlignment="1">
      <alignment horizontal="center" vertical="center"/>
    </xf>
    <xf numFmtId="0" fontId="21" fillId="0" borderId="0" xfId="9" applyFont="1"/>
    <xf numFmtId="0" fontId="3" fillId="19" borderId="116" xfId="9" applyFill="1" applyBorder="1" applyAlignment="1">
      <alignment horizontal="center" vertical="center"/>
    </xf>
    <xf numFmtId="0" fontId="3" fillId="19" borderId="20" xfId="9" applyFill="1" applyBorder="1" applyAlignment="1">
      <alignment horizontal="center" vertical="center"/>
    </xf>
    <xf numFmtId="0" fontId="3" fillId="19" borderId="132" xfId="9" applyFill="1" applyBorder="1" applyAlignment="1">
      <alignment horizontal="center" vertical="center"/>
    </xf>
    <xf numFmtId="0" fontId="3" fillId="19" borderId="133" xfId="9" applyFill="1" applyBorder="1" applyAlignment="1">
      <alignment horizontal="center" vertical="center"/>
    </xf>
    <xf numFmtId="0" fontId="3" fillId="19" borderId="117" xfId="9" applyFill="1" applyBorder="1" applyAlignment="1">
      <alignment horizontal="center" vertical="center"/>
    </xf>
    <xf numFmtId="0" fontId="3" fillId="0" borderId="134" xfId="9" applyBorder="1"/>
    <xf numFmtId="0" fontId="3" fillId="2" borderId="1" xfId="9" applyFill="1" applyBorder="1" applyAlignment="1">
      <alignment horizontal="center" vertical="center"/>
    </xf>
    <xf numFmtId="0" fontId="3" fillId="0" borderId="1" xfId="9" applyBorder="1" applyAlignment="1">
      <alignment horizontal="center" vertical="center"/>
    </xf>
    <xf numFmtId="165" fontId="3" fillId="0" borderId="1" xfId="9" applyNumberFormat="1" applyBorder="1" applyAlignment="1">
      <alignment horizontal="center"/>
    </xf>
    <xf numFmtId="0" fontId="3" fillId="0" borderId="78" xfId="9" applyBorder="1" applyAlignment="1">
      <alignment horizontal="center" vertical="center"/>
    </xf>
    <xf numFmtId="0" fontId="3" fillId="0" borderId="34" xfId="9" applyBorder="1" applyAlignment="1">
      <alignment horizontal="center" vertical="center"/>
    </xf>
    <xf numFmtId="3" fontId="3" fillId="0" borderId="34" xfId="9" applyNumberFormat="1" applyBorder="1" applyAlignment="1">
      <alignment horizontal="right" vertical="center"/>
    </xf>
    <xf numFmtId="3" fontId="5" fillId="0" borderId="135" xfId="9" applyNumberFormat="1" applyFont="1" applyBorder="1" applyAlignment="1">
      <alignment horizontal="right" vertical="center"/>
    </xf>
    <xf numFmtId="0" fontId="3" fillId="0" borderId="78" xfId="9" applyBorder="1" applyAlignment="1">
      <alignment horizontal="center" vertical="center"/>
    </xf>
    <xf numFmtId="3" fontId="3" fillId="0" borderId="78" xfId="9" applyNumberFormat="1" applyBorder="1" applyAlignment="1">
      <alignment horizontal="right" vertical="center"/>
    </xf>
    <xf numFmtId="3" fontId="5" fillId="0" borderId="118" xfId="9" applyNumberFormat="1" applyFont="1" applyBorder="1" applyAlignment="1">
      <alignment horizontal="right" vertical="center"/>
    </xf>
    <xf numFmtId="0" fontId="3" fillId="2" borderId="1" xfId="9" applyFill="1" applyBorder="1" applyAlignment="1">
      <alignment horizontal="center"/>
    </xf>
    <xf numFmtId="0" fontId="3" fillId="0" borderId="136" xfId="9" applyBorder="1" applyAlignment="1">
      <alignment horizontal="center"/>
    </xf>
    <xf numFmtId="0" fontId="5" fillId="0" borderId="0" xfId="9" applyFont="1" applyAlignment="1">
      <alignment horizontal="center" vertical="center" wrapText="1"/>
    </xf>
    <xf numFmtId="0" fontId="5" fillId="0" borderId="137" xfId="9" applyFont="1" applyBorder="1"/>
    <xf numFmtId="0" fontId="5" fillId="0" borderId="138" xfId="9" applyFont="1" applyBorder="1" applyAlignment="1">
      <alignment horizontal="center"/>
    </xf>
    <xf numFmtId="165" fontId="5" fillId="0" borderId="138" xfId="9" applyNumberFormat="1" applyFont="1" applyBorder="1" applyAlignment="1">
      <alignment horizontal="center"/>
    </xf>
    <xf numFmtId="2" fontId="3" fillId="0" borderId="138" xfId="9" applyNumberFormat="1" applyBorder="1" applyAlignment="1">
      <alignment horizontal="center"/>
    </xf>
    <xf numFmtId="0" fontId="3" fillId="0" borderId="138" xfId="9" applyBorder="1" applyAlignment="1">
      <alignment horizontal="center" vertical="center"/>
    </xf>
    <xf numFmtId="3" fontId="3" fillId="0" borderId="138" xfId="9" applyNumberFormat="1" applyBorder="1" applyAlignment="1">
      <alignment horizontal="right" vertical="center"/>
    </xf>
    <xf numFmtId="3" fontId="5" fillId="0" borderId="139" xfId="9" applyNumberFormat="1" applyFont="1" applyBorder="1" applyAlignment="1">
      <alignment horizontal="right" vertical="center"/>
    </xf>
    <xf numFmtId="0" fontId="3" fillId="0" borderId="140" xfId="9" applyBorder="1"/>
    <xf numFmtId="166" fontId="3" fillId="2" borderId="141" xfId="9" applyNumberFormat="1" applyFill="1" applyBorder="1" applyAlignment="1">
      <alignment horizontal="center"/>
    </xf>
    <xf numFmtId="10" fontId="3" fillId="0" borderId="142" xfId="3" applyNumberFormat="1" applyFont="1" applyBorder="1" applyAlignment="1">
      <alignment horizontal="center"/>
    </xf>
    <xf numFmtId="165" fontId="3" fillId="0" borderId="141" xfId="9" applyNumberFormat="1" applyBorder="1" applyAlignment="1">
      <alignment horizontal="center"/>
    </xf>
    <xf numFmtId="2" fontId="3" fillId="0" borderId="141" xfId="9" applyNumberFormat="1" applyBorder="1" applyAlignment="1">
      <alignment horizontal="center"/>
    </xf>
    <xf numFmtId="0" fontId="3" fillId="0" borderId="141" xfId="9" applyBorder="1" applyAlignment="1">
      <alignment horizontal="center"/>
    </xf>
    <xf numFmtId="3" fontId="3" fillId="0" borderId="143" xfId="9" applyNumberFormat="1" applyBorder="1" applyAlignment="1">
      <alignment horizontal="right"/>
    </xf>
    <xf numFmtId="3" fontId="5" fillId="0" borderId="144" xfId="9" applyNumberFormat="1" applyFont="1" applyBorder="1" applyAlignment="1">
      <alignment horizontal="right"/>
    </xf>
    <xf numFmtId="0" fontId="16" fillId="4" borderId="0" xfId="9" applyFont="1" applyFill="1" applyAlignment="1">
      <alignment horizontal="center" vertical="center" wrapText="1"/>
    </xf>
    <xf numFmtId="0" fontId="3" fillId="0" borderId="145" xfId="9" applyBorder="1"/>
    <xf numFmtId="14" fontId="3" fillId="0" borderId="0" xfId="9" applyNumberFormat="1"/>
    <xf numFmtId="0" fontId="7" fillId="19" borderId="126" xfId="4" applyFill="1" applyBorder="1" applyAlignment="1">
      <alignment horizontal="right"/>
    </xf>
    <xf numFmtId="0" fontId="7" fillId="19" borderId="127" xfId="4" applyFill="1" applyBorder="1" applyAlignment="1">
      <alignment horizontal="right"/>
    </xf>
    <xf numFmtId="0" fontId="7" fillId="2" borderId="0" xfId="4" applyFill="1" applyAlignment="1">
      <alignment horizontal="left"/>
    </xf>
    <xf numFmtId="0" fontId="7" fillId="19" borderId="113" xfId="4" applyFill="1" applyBorder="1"/>
    <xf numFmtId="0" fontId="7" fillId="0" borderId="0" xfId="4"/>
    <xf numFmtId="0" fontId="7" fillId="19" borderId="114" xfId="4" applyFill="1" applyBorder="1" applyAlignment="1">
      <alignment horizontal="center"/>
    </xf>
    <xf numFmtId="0" fontId="7" fillId="19" borderId="130" xfId="4" applyFill="1" applyBorder="1" applyAlignment="1">
      <alignment horizontal="center"/>
    </xf>
    <xf numFmtId="0" fontId="7" fillId="19" borderId="34" xfId="4" applyFill="1" applyBorder="1" applyAlignment="1">
      <alignment horizontal="center"/>
    </xf>
    <xf numFmtId="0" fontId="7" fillId="19" borderId="135" xfId="4" applyFill="1" applyBorder="1" applyAlignment="1">
      <alignment horizontal="center"/>
    </xf>
    <xf numFmtId="0" fontId="7" fillId="0" borderId="0" xfId="4" applyAlignment="1">
      <alignment horizontal="center"/>
    </xf>
    <xf numFmtId="0" fontId="7" fillId="19" borderId="146" xfId="4" applyFill="1" applyBorder="1" applyAlignment="1">
      <alignment horizontal="center"/>
    </xf>
    <xf numFmtId="0" fontId="7" fillId="19" borderId="132" xfId="4" applyFill="1" applyBorder="1" applyAlignment="1">
      <alignment horizontal="center"/>
    </xf>
    <xf numFmtId="0" fontId="7" fillId="19" borderId="20" xfId="4" applyFill="1" applyBorder="1" applyAlignment="1">
      <alignment horizontal="center"/>
    </xf>
    <xf numFmtId="0" fontId="7" fillId="19" borderId="117" xfId="4" applyFill="1" applyBorder="1" applyAlignment="1">
      <alignment horizontal="center"/>
    </xf>
    <xf numFmtId="0" fontId="7" fillId="0" borderId="147" xfId="4" applyBorder="1"/>
    <xf numFmtId="0" fontId="7" fillId="0" borderId="148" xfId="4" applyBorder="1"/>
    <xf numFmtId="0" fontId="7" fillId="0" borderId="149" xfId="4" applyBorder="1" applyAlignment="1">
      <alignment horizontal="right"/>
    </xf>
    <xf numFmtId="165" fontId="7" fillId="0" borderId="150" xfId="4" applyNumberFormat="1" applyBorder="1" applyAlignment="1">
      <alignment horizontal="right"/>
    </xf>
    <xf numFmtId="0" fontId="7" fillId="0" borderId="151" xfId="4" applyBorder="1"/>
    <xf numFmtId="0" fontId="7" fillId="0" borderId="152" xfId="4" applyBorder="1"/>
    <xf numFmtId="0" fontId="7" fillId="0" borderId="120" xfId="4" applyBorder="1" applyAlignment="1">
      <alignment horizontal="right"/>
    </xf>
    <xf numFmtId="165" fontId="7" fillId="0" borderId="121" xfId="4" applyNumberFormat="1" applyBorder="1" applyAlignment="1">
      <alignment horizontal="right"/>
    </xf>
    <xf numFmtId="0" fontId="7" fillId="0" borderId="153" xfId="4" applyBorder="1"/>
    <xf numFmtId="0" fontId="7" fillId="0" borderId="154" xfId="4" applyBorder="1"/>
    <xf numFmtId="0" fontId="7" fillId="0" borderId="155" xfId="4" applyBorder="1" applyAlignment="1">
      <alignment horizontal="right"/>
    </xf>
    <xf numFmtId="165" fontId="7" fillId="0" borderId="156" xfId="4" applyNumberFormat="1" applyBorder="1" applyAlignment="1">
      <alignment horizontal="right"/>
    </xf>
    <xf numFmtId="0" fontId="7" fillId="0" borderId="157" xfId="4" applyBorder="1"/>
    <xf numFmtId="0" fontId="7" fillId="0" borderId="142" xfId="4" applyBorder="1"/>
    <xf numFmtId="0" fontId="14" fillId="0" borderId="141" xfId="4" applyFont="1" applyBorder="1" applyAlignment="1">
      <alignment horizontal="right"/>
    </xf>
    <xf numFmtId="165" fontId="14" fillId="0" borderId="144" xfId="4" applyNumberFormat="1" applyFont="1" applyBorder="1"/>
    <xf numFmtId="165" fontId="5" fillId="0" borderId="0" xfId="9" applyNumberFormat="1" applyFont="1"/>
    <xf numFmtId="0" fontId="3" fillId="0" borderId="0" xfId="9" applyAlignment="1">
      <alignment horizontal="left" vertical="center" wrapText="1"/>
    </xf>
    <xf numFmtId="0" fontId="3" fillId="0" borderId="104" xfId="9" applyBorder="1" applyAlignment="1">
      <alignment horizontal="left" vertical="center" wrapText="1"/>
    </xf>
    <xf numFmtId="0" fontId="38" fillId="0" borderId="101" xfId="9" applyFont="1" applyBorder="1" applyAlignment="1">
      <alignment horizontal="left" wrapText="1"/>
    </xf>
    <xf numFmtId="0" fontId="3" fillId="0" borderId="0" xfId="9" applyAlignment="1">
      <alignment horizontal="left" wrapText="1"/>
    </xf>
    <xf numFmtId="0" fontId="38" fillId="2" borderId="0" xfId="9" applyFont="1" applyFill="1" applyAlignment="1">
      <alignment horizontal="left" wrapText="1"/>
    </xf>
    <xf numFmtId="0" fontId="38" fillId="0" borderId="0" xfId="9" applyFont="1" applyAlignment="1">
      <alignment horizontal="left" wrapText="1"/>
    </xf>
    <xf numFmtId="0" fontId="38" fillId="0" borderId="0" xfId="9" applyFont="1" applyAlignment="1">
      <alignment horizontal="left"/>
    </xf>
    <xf numFmtId="0" fontId="47" fillId="0" borderId="0" xfId="4" applyFont="1" applyAlignment="1">
      <alignment vertical="center"/>
    </xf>
    <xf numFmtId="0" fontId="3" fillId="0" borderId="67" xfId="9" applyBorder="1" applyAlignment="1">
      <alignment horizontal="left" wrapText="1"/>
    </xf>
    <xf numFmtId="0" fontId="38" fillId="2" borderId="67" xfId="9" applyFont="1" applyFill="1" applyBorder="1" applyAlignment="1">
      <alignment horizontal="left" wrapText="1"/>
    </xf>
    <xf numFmtId="0" fontId="38" fillId="0" borderId="67" xfId="9" applyFont="1" applyBorder="1" applyAlignment="1">
      <alignment horizontal="left" wrapText="1"/>
    </xf>
    <xf numFmtId="0" fontId="38" fillId="0" borderId="67" xfId="9" applyFont="1" applyBorder="1" applyAlignment="1">
      <alignment horizontal="left"/>
    </xf>
    <xf numFmtId="0" fontId="16" fillId="0" borderId="0" xfId="9" applyFont="1" applyAlignment="1">
      <alignment horizontal="right"/>
    </xf>
    <xf numFmtId="0" fontId="4" fillId="4" borderId="0" xfId="9" applyFont="1" applyFill="1" applyAlignment="1">
      <alignment horizontal="left"/>
    </xf>
    <xf numFmtId="0" fontId="48" fillId="0" borderId="134" xfId="9" applyFont="1" applyBorder="1"/>
    <xf numFmtId="0" fontId="5" fillId="0" borderId="114" xfId="9" applyFont="1" applyBorder="1" applyAlignment="1">
      <alignment horizontal="center"/>
    </xf>
    <xf numFmtId="0" fontId="5" fillId="0" borderId="115" xfId="9" applyFont="1" applyBorder="1" applyAlignment="1">
      <alignment horizontal="center"/>
    </xf>
  </cellXfs>
  <cellStyles count="10">
    <cellStyle name="Měna 2" xfId="8" xr:uid="{93CBD63A-E626-4C8F-BDE2-01F824F49A67}"/>
    <cellStyle name="Normální" xfId="0" builtinId="0"/>
    <cellStyle name="normální 2" xfId="2" xr:uid="{C0E87C3E-9CEC-43DA-8377-9E438CBADC45}"/>
    <cellStyle name="Normální 3" xfId="4" xr:uid="{4A835923-FD44-4CA6-A748-16A6D3E22174}"/>
    <cellStyle name="Normální 4" xfId="7" xr:uid="{D2DB9B04-5875-401F-B2C1-1FDF6F55230D}"/>
    <cellStyle name="normální_Bilance VOC Příloha 3 - verze1" xfId="5" xr:uid="{09A36444-545B-465A-B295-1CD15970A130}"/>
    <cellStyle name="normální_List1" xfId="6" xr:uid="{2FDD498B-5290-4C02-A8AC-FC9618BC9D8A}"/>
    <cellStyle name="normální_Příloha k výpočtu poplatku pro rok 2007" xfId="9" xr:uid="{16823796-7A67-4F1B-A741-7CC0B1C039C0}"/>
    <cellStyle name="Procenta" xfId="1" builtinId="5"/>
    <cellStyle name="Procenta 2" xfId="3" xr:uid="{12F1F870-FDC8-406A-8A1B-F0636E72F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149325</xdr:colOff>
      <xdr:row>41</xdr:row>
      <xdr:rowOff>143133</xdr:rowOff>
    </xdr:from>
    <xdr:to>
      <xdr:col>4</xdr:col>
      <xdr:colOff>2328332</xdr:colOff>
      <xdr:row>112</xdr:row>
      <xdr:rowOff>71282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EC3B438-2B7E-4B14-BDED-656BAADB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325" y="8899783"/>
          <a:ext cx="8370257" cy="11205749"/>
        </a:xfrm>
        <a:prstGeom prst="rect">
          <a:avLst/>
        </a:prstGeom>
      </xdr:spPr>
    </xdr:pic>
    <xdr:clientData/>
  </xdr:twoCellAnchor>
  <xdr:twoCellAnchor>
    <xdr:from>
      <xdr:col>4</xdr:col>
      <xdr:colOff>1622778</xdr:colOff>
      <xdr:row>11</xdr:row>
      <xdr:rowOff>63500</xdr:rowOff>
    </xdr:from>
    <xdr:to>
      <xdr:col>11</xdr:col>
      <xdr:colOff>818444</xdr:colOff>
      <xdr:row>13</xdr:row>
      <xdr:rowOff>77612</xdr:rowOff>
    </xdr:to>
    <xdr:sp macro="" textlink="">
      <xdr:nvSpPr>
        <xdr:cNvPr id="3" name="Volný tvar: obrazec 2">
          <a:extLst>
            <a:ext uri="{FF2B5EF4-FFF2-40B4-BE49-F238E27FC236}">
              <a16:creationId xmlns:a16="http://schemas.microsoft.com/office/drawing/2014/main" id="{94403213-EDF6-464C-817B-B329B575FF6C}"/>
            </a:ext>
          </a:extLst>
        </xdr:cNvPr>
        <xdr:cNvSpPr/>
      </xdr:nvSpPr>
      <xdr:spPr>
        <a:xfrm>
          <a:off x="7814028" y="2514600"/>
          <a:ext cx="6695016" cy="344312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1622778</xdr:colOff>
      <xdr:row>11</xdr:row>
      <xdr:rowOff>148168</xdr:rowOff>
    </xdr:from>
    <xdr:to>
      <xdr:col>12</xdr:col>
      <xdr:colOff>938389</xdr:colOff>
      <xdr:row>28</xdr:row>
      <xdr:rowOff>91724</xdr:rowOff>
    </xdr:to>
    <xdr:sp macro="" textlink="">
      <xdr:nvSpPr>
        <xdr:cNvPr id="4" name="Volný tvar: obrazec 3">
          <a:extLst>
            <a:ext uri="{FF2B5EF4-FFF2-40B4-BE49-F238E27FC236}">
              <a16:creationId xmlns:a16="http://schemas.microsoft.com/office/drawing/2014/main" id="{EF40A8F6-43CA-4617-BAF8-C998B7C67852}"/>
            </a:ext>
          </a:extLst>
        </xdr:cNvPr>
        <xdr:cNvSpPr/>
      </xdr:nvSpPr>
      <xdr:spPr>
        <a:xfrm>
          <a:off x="7814028" y="2599268"/>
          <a:ext cx="7850011" cy="3391606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1707445</xdr:colOff>
      <xdr:row>20</xdr:row>
      <xdr:rowOff>204609</xdr:rowOff>
    </xdr:from>
    <xdr:to>
      <xdr:col>11</xdr:col>
      <xdr:colOff>903111</xdr:colOff>
      <xdr:row>21</xdr:row>
      <xdr:rowOff>137442</xdr:rowOff>
    </xdr:to>
    <xdr:sp macro="" textlink="">
      <xdr:nvSpPr>
        <xdr:cNvPr id="5" name="Volný tvar: obrazec 4">
          <a:extLst>
            <a:ext uri="{FF2B5EF4-FFF2-40B4-BE49-F238E27FC236}">
              <a16:creationId xmlns:a16="http://schemas.microsoft.com/office/drawing/2014/main" id="{1ADD43A4-0F19-462E-9274-2D99CDED0EE9}"/>
            </a:ext>
          </a:extLst>
        </xdr:cNvPr>
        <xdr:cNvSpPr/>
      </xdr:nvSpPr>
      <xdr:spPr>
        <a:xfrm>
          <a:off x="7898695" y="4541659"/>
          <a:ext cx="6695016" cy="136033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10</xdr:col>
      <xdr:colOff>656167</xdr:colOff>
      <xdr:row>29</xdr:row>
      <xdr:rowOff>98779</xdr:rowOff>
    </xdr:from>
    <xdr:to>
      <xdr:col>12</xdr:col>
      <xdr:colOff>515055</xdr:colOff>
      <xdr:row>31</xdr:row>
      <xdr:rowOff>77612</xdr:rowOff>
    </xdr:to>
    <xdr:sp macro="" textlink="">
      <xdr:nvSpPr>
        <xdr:cNvPr id="6" name="Volný tvar: obrazec 5">
          <a:extLst>
            <a:ext uri="{FF2B5EF4-FFF2-40B4-BE49-F238E27FC236}">
              <a16:creationId xmlns:a16="http://schemas.microsoft.com/office/drawing/2014/main" id="{3BFEC8F1-9587-4685-84DC-D4B8BD0EF819}"/>
            </a:ext>
          </a:extLst>
        </xdr:cNvPr>
        <xdr:cNvSpPr/>
      </xdr:nvSpPr>
      <xdr:spPr>
        <a:xfrm>
          <a:off x="13457767" y="6194779"/>
          <a:ext cx="1782938" cy="410633"/>
        </a:xfrm>
        <a:custGeom>
          <a:avLst/>
          <a:gdLst>
            <a:gd name="connsiteX0" fmla="*/ 0 w 1785055"/>
            <a:gd name="connsiteY0" fmla="*/ 352778 h 381000"/>
            <a:gd name="connsiteX1" fmla="*/ 0 w 1785055"/>
            <a:gd name="connsiteY1" fmla="*/ 0 h 381000"/>
            <a:gd name="connsiteX2" fmla="*/ 1785055 w 1785055"/>
            <a:gd name="connsiteY2" fmla="*/ 0 h 381000"/>
            <a:gd name="connsiteX3" fmla="*/ 1785055 w 1785055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85055" h="381000">
              <a:moveTo>
                <a:pt x="0" y="352778"/>
              </a:moveTo>
              <a:lnTo>
                <a:pt x="0" y="0"/>
              </a:lnTo>
              <a:lnTo>
                <a:pt x="1785055" y="0"/>
              </a:lnTo>
              <a:lnTo>
                <a:pt x="1785055" y="38100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9</xdr:col>
      <xdr:colOff>550333</xdr:colOff>
      <xdr:row>35</xdr:row>
      <xdr:rowOff>254000</xdr:rowOff>
    </xdr:from>
    <xdr:to>
      <xdr:col>11</xdr:col>
      <xdr:colOff>705555</xdr:colOff>
      <xdr:row>36</xdr:row>
      <xdr:rowOff>119946</xdr:rowOff>
    </xdr:to>
    <xdr:sp macro="" textlink="">
      <xdr:nvSpPr>
        <xdr:cNvPr id="7" name="Volný tvar: obrazec 6">
          <a:extLst>
            <a:ext uri="{FF2B5EF4-FFF2-40B4-BE49-F238E27FC236}">
              <a16:creationId xmlns:a16="http://schemas.microsoft.com/office/drawing/2014/main" id="{A2BD8FE7-D51B-4DB5-899B-3E46711A77C5}"/>
            </a:ext>
          </a:extLst>
        </xdr:cNvPr>
        <xdr:cNvSpPr/>
      </xdr:nvSpPr>
      <xdr:spPr>
        <a:xfrm flipV="1">
          <a:off x="12335933" y="7696200"/>
          <a:ext cx="2060222" cy="183446"/>
        </a:xfrm>
        <a:custGeom>
          <a:avLst/>
          <a:gdLst>
            <a:gd name="connsiteX0" fmla="*/ 0 w 1785055"/>
            <a:gd name="connsiteY0" fmla="*/ 352778 h 381000"/>
            <a:gd name="connsiteX1" fmla="*/ 0 w 1785055"/>
            <a:gd name="connsiteY1" fmla="*/ 0 h 381000"/>
            <a:gd name="connsiteX2" fmla="*/ 1785055 w 1785055"/>
            <a:gd name="connsiteY2" fmla="*/ 0 h 381000"/>
            <a:gd name="connsiteX3" fmla="*/ 1785055 w 1785055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85055" h="381000">
              <a:moveTo>
                <a:pt x="0" y="352778"/>
              </a:moveTo>
              <a:lnTo>
                <a:pt x="0" y="0"/>
              </a:lnTo>
              <a:lnTo>
                <a:pt x="1785055" y="0"/>
              </a:lnTo>
              <a:lnTo>
                <a:pt x="1785055" y="381000"/>
              </a:ln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1552222</xdr:colOff>
      <xdr:row>16</xdr:row>
      <xdr:rowOff>105834</xdr:rowOff>
    </xdr:from>
    <xdr:to>
      <xdr:col>15</xdr:col>
      <xdr:colOff>529167</xdr:colOff>
      <xdr:row>40</xdr:row>
      <xdr:rowOff>7055</xdr:rowOff>
    </xdr:to>
    <xdr:sp macro="" textlink="">
      <xdr:nvSpPr>
        <xdr:cNvPr id="8" name="Volný tvar: obrazec 7">
          <a:extLst>
            <a:ext uri="{FF2B5EF4-FFF2-40B4-BE49-F238E27FC236}">
              <a16:creationId xmlns:a16="http://schemas.microsoft.com/office/drawing/2014/main" id="{5A8E2EC5-CA11-451F-93C1-1B4FD11E29F9}"/>
            </a:ext>
          </a:extLst>
        </xdr:cNvPr>
        <xdr:cNvSpPr/>
      </xdr:nvSpPr>
      <xdr:spPr>
        <a:xfrm>
          <a:off x="7743472" y="3649134"/>
          <a:ext cx="10006895" cy="4911371"/>
        </a:xfrm>
        <a:custGeom>
          <a:avLst/>
          <a:gdLst>
            <a:gd name="connsiteX0" fmla="*/ 10018889 w 10018889"/>
            <a:gd name="connsiteY0" fmla="*/ 4353277 h 4896555"/>
            <a:gd name="connsiteX1" fmla="*/ 10018889 w 10018889"/>
            <a:gd name="connsiteY1" fmla="*/ 4896555 h 4896555"/>
            <a:gd name="connsiteX2" fmla="*/ 1770944 w 10018889"/>
            <a:gd name="connsiteY2" fmla="*/ 4896555 h 4896555"/>
            <a:gd name="connsiteX3" fmla="*/ 1770944 w 10018889"/>
            <a:gd name="connsiteY3" fmla="*/ 0 h 4896555"/>
            <a:gd name="connsiteX4" fmla="*/ 0 w 10018889"/>
            <a:gd name="connsiteY4" fmla="*/ 0 h 48965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18889" h="4896555">
              <a:moveTo>
                <a:pt x="10018889" y="4353277"/>
              </a:moveTo>
              <a:lnTo>
                <a:pt x="10018889" y="4896555"/>
              </a:lnTo>
              <a:lnTo>
                <a:pt x="1770944" y="4896555"/>
              </a:lnTo>
              <a:lnTo>
                <a:pt x="1770944" y="0"/>
              </a:lnTo>
              <a:lnTo>
                <a:pt x="0" y="0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290285</xdr:colOff>
      <xdr:row>10</xdr:row>
      <xdr:rowOff>49291</xdr:rowOff>
    </xdr:from>
    <xdr:to>
      <xdr:col>15</xdr:col>
      <xdr:colOff>118070</xdr:colOff>
      <xdr:row>22</xdr:row>
      <xdr:rowOff>110553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D600C7C-B6EA-7C19-718A-D29DBAF89F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7"/>
        <a:stretch/>
      </xdr:blipFill>
      <xdr:spPr>
        <a:xfrm>
          <a:off x="4938485" y="1965177"/>
          <a:ext cx="5176299" cy="2100519"/>
        </a:xfrm>
        <a:prstGeom prst="rect">
          <a:avLst/>
        </a:prstGeom>
      </xdr:spPr>
    </xdr:pic>
    <xdr:clientData/>
  </xdr:twoCellAnchor>
  <xdr:twoCellAnchor editAs="oneCell">
    <xdr:from>
      <xdr:col>0</xdr:col>
      <xdr:colOff>150091</xdr:colOff>
      <xdr:row>19</xdr:row>
      <xdr:rowOff>112487</xdr:rowOff>
    </xdr:from>
    <xdr:to>
      <xdr:col>7</xdr:col>
      <xdr:colOff>181522</xdr:colOff>
      <xdr:row>39</xdr:row>
      <xdr:rowOff>38012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DA5701D-9973-D3D7-E55C-CD032EB4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91" y="3588658"/>
          <a:ext cx="4679631" cy="3118668"/>
        </a:xfrm>
        <a:prstGeom prst="rect">
          <a:avLst/>
        </a:prstGeom>
      </xdr:spPr>
    </xdr:pic>
    <xdr:clientData/>
  </xdr:twoCellAnchor>
  <xdr:twoCellAnchor editAs="oneCell">
    <xdr:from>
      <xdr:col>7</xdr:col>
      <xdr:colOff>746259</xdr:colOff>
      <xdr:row>24</xdr:row>
      <xdr:rowOff>50799</xdr:rowOff>
    </xdr:from>
    <xdr:to>
      <xdr:col>17</xdr:col>
      <xdr:colOff>365850</xdr:colOff>
      <xdr:row>38</xdr:row>
      <xdr:rowOff>36278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5AFD70B-5BF5-B1FB-2E9D-23D28908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4459" y="4325256"/>
          <a:ext cx="6252620" cy="22206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462930</xdr:colOff>
      <xdr:row>0</xdr:row>
      <xdr:rowOff>235857</xdr:rowOff>
    </xdr:from>
    <xdr:to>
      <xdr:col>14</xdr:col>
      <xdr:colOff>385656</xdr:colOff>
      <xdr:row>24</xdr:row>
      <xdr:rowOff>31448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7FFA51-C37C-ECDF-DED4-2E1CC9D35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1644" y="235857"/>
          <a:ext cx="3863355" cy="394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2748-FA56-4423-81D4-98CDAABA920A}">
  <sheetPr>
    <tabColor rgb="FF92D050"/>
  </sheetPr>
  <dimension ref="A1:I15"/>
  <sheetViews>
    <sheetView tabSelected="1" zoomScale="325" zoomScaleNormal="325" workbookViewId="0">
      <selection activeCell="G16" sqref="G16"/>
    </sheetView>
  </sheetViews>
  <sheetFormatPr defaultRowHeight="14.5" x14ac:dyDescent="0.35"/>
  <cols>
    <col min="4" max="4" width="12" customWidth="1"/>
    <col min="5" max="5" width="17.26953125" bestFit="1" customWidth="1"/>
  </cols>
  <sheetData>
    <row r="1" spans="1:9" x14ac:dyDescent="0.35">
      <c r="A1" s="7" t="s">
        <v>15</v>
      </c>
    </row>
    <row r="2" spans="1:9" x14ac:dyDescent="0.35">
      <c r="A2">
        <v>275</v>
      </c>
      <c r="B2" t="s">
        <v>0</v>
      </c>
      <c r="E2" s="7" t="s">
        <v>18</v>
      </c>
      <c r="F2" s="136" t="s">
        <v>20</v>
      </c>
      <c r="G2" s="136"/>
      <c r="H2" s="136"/>
    </row>
    <row r="3" spans="1:9" x14ac:dyDescent="0.35">
      <c r="A3" s="1">
        <v>0.9</v>
      </c>
      <c r="B3" t="s">
        <v>11</v>
      </c>
      <c r="E3" t="s">
        <v>5</v>
      </c>
      <c r="F3" s="4">
        <v>500</v>
      </c>
    </row>
    <row r="4" spans="1:9" x14ac:dyDescent="0.35">
      <c r="A4" s="2">
        <f>A2/A3</f>
        <v>305.55555555555554</v>
      </c>
      <c r="B4" t="s">
        <v>1</v>
      </c>
      <c r="E4" t="s">
        <v>5</v>
      </c>
      <c r="F4" s="5">
        <v>200</v>
      </c>
    </row>
    <row r="5" spans="1:9" x14ac:dyDescent="0.35">
      <c r="E5" t="s">
        <v>6</v>
      </c>
      <c r="F5">
        <v>500</v>
      </c>
      <c r="G5">
        <v>700</v>
      </c>
      <c r="H5" s="4">
        <f>SUM(F5:G5)</f>
        <v>1200</v>
      </c>
      <c r="I5" t="s">
        <v>9</v>
      </c>
    </row>
    <row r="6" spans="1:9" x14ac:dyDescent="0.35">
      <c r="E6" s="6" t="s">
        <v>7</v>
      </c>
      <c r="F6" s="4">
        <v>500</v>
      </c>
      <c r="G6" s="4">
        <v>700</v>
      </c>
      <c r="I6" t="s">
        <v>10</v>
      </c>
    </row>
    <row r="7" spans="1:9" x14ac:dyDescent="0.35">
      <c r="A7" s="7" t="s">
        <v>17</v>
      </c>
      <c r="E7" t="s">
        <v>6</v>
      </c>
      <c r="F7">
        <v>200</v>
      </c>
      <c r="G7">
        <v>200</v>
      </c>
      <c r="H7" s="4">
        <f>SUM(F7:G7)</f>
        <v>400</v>
      </c>
    </row>
    <row r="8" spans="1:9" x14ac:dyDescent="0.35">
      <c r="A8">
        <v>30</v>
      </c>
      <c r="B8" t="s">
        <v>2</v>
      </c>
      <c r="E8" s="6" t="s">
        <v>7</v>
      </c>
      <c r="F8" s="5">
        <v>200</v>
      </c>
      <c r="G8" s="5">
        <v>200</v>
      </c>
    </row>
    <row r="9" spans="1:9" x14ac:dyDescent="0.35">
      <c r="A9">
        <v>11.78</v>
      </c>
      <c r="B9" t="s">
        <v>3</v>
      </c>
      <c r="E9" t="s">
        <v>8</v>
      </c>
      <c r="F9" s="4">
        <v>500</v>
      </c>
      <c r="G9" s="5">
        <v>200</v>
      </c>
    </row>
    <row r="10" spans="1:9" x14ac:dyDescent="0.35">
      <c r="A10">
        <f>A8*0.85</f>
        <v>25.5</v>
      </c>
      <c r="B10" t="s">
        <v>4</v>
      </c>
    </row>
    <row r="11" spans="1:9" x14ac:dyDescent="0.35">
      <c r="A11" s="3">
        <f>A9*A10</f>
        <v>300.39</v>
      </c>
      <c r="B11" t="s">
        <v>1</v>
      </c>
      <c r="D11" s="7" t="s">
        <v>19</v>
      </c>
    </row>
    <row r="12" spans="1:9" x14ac:dyDescent="0.35">
      <c r="D12">
        <v>105000</v>
      </c>
      <c r="E12" t="s">
        <v>12</v>
      </c>
    </row>
    <row r="13" spans="1:9" x14ac:dyDescent="0.35">
      <c r="D13">
        <v>1500</v>
      </c>
      <c r="E13" t="s">
        <v>13</v>
      </c>
    </row>
    <row r="14" spans="1:9" x14ac:dyDescent="0.35">
      <c r="D14">
        <v>20</v>
      </c>
      <c r="E14" t="s">
        <v>16</v>
      </c>
    </row>
    <row r="15" spans="1:9" x14ac:dyDescent="0.35">
      <c r="D15" s="3">
        <f>D12*D13*D14/1000000000</f>
        <v>3.15</v>
      </c>
      <c r="E15" t="s">
        <v>14</v>
      </c>
    </row>
  </sheetData>
  <mergeCells count="1">
    <mergeCell ref="F2:H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29B9-3D7A-4686-AE65-4C6D52FAADFF}">
  <sheetPr>
    <tabColor rgb="FF92D050"/>
    <pageSetUpPr fitToPage="1"/>
  </sheetPr>
  <dimension ref="A1:K8"/>
  <sheetViews>
    <sheetView zoomScale="250" zoomScaleNormal="250" workbookViewId="0">
      <selection activeCell="C11" sqref="C11"/>
    </sheetView>
  </sheetViews>
  <sheetFormatPr defaultColWidth="9.1796875" defaultRowHeight="12.5" x14ac:dyDescent="0.25"/>
  <cols>
    <col min="1" max="1" width="2.1796875" style="9" customWidth="1"/>
    <col min="2" max="2" width="17.81640625" style="9" customWidth="1"/>
    <col min="3" max="3" width="12.453125" style="9" customWidth="1"/>
    <col min="4" max="4" width="11.81640625" style="9" customWidth="1"/>
    <col min="5" max="5" width="9.1796875" style="9"/>
    <col min="6" max="6" width="10.54296875" style="9" customWidth="1"/>
    <col min="7" max="7" width="11" style="9" customWidth="1"/>
    <col min="8" max="16384" width="9.1796875" style="9"/>
  </cols>
  <sheetData>
    <row r="1" spans="1:11" ht="20" x14ac:dyDescent="0.4">
      <c r="A1" s="137" t="s">
        <v>21</v>
      </c>
      <c r="B1" s="137"/>
      <c r="C1" s="137"/>
      <c r="D1" s="137"/>
      <c r="E1" s="137"/>
      <c r="F1" s="137"/>
      <c r="G1" s="137"/>
      <c r="H1" s="137"/>
      <c r="I1" s="137"/>
      <c r="J1" s="137"/>
      <c r="K1" s="8"/>
    </row>
    <row r="2" spans="1:11" ht="13" customHeight="1" x14ac:dyDescent="0.3">
      <c r="B2" s="10" t="s">
        <v>22</v>
      </c>
    </row>
    <row r="3" spans="1:11" ht="31.5" customHeight="1" x14ac:dyDescent="0.25">
      <c r="B3" s="16" t="s">
        <v>23</v>
      </c>
      <c r="C3" s="17" t="s">
        <v>31</v>
      </c>
      <c r="D3" s="16" t="s">
        <v>24</v>
      </c>
      <c r="E3" s="17" t="s">
        <v>30</v>
      </c>
      <c r="F3" s="16" t="s">
        <v>25</v>
      </c>
    </row>
    <row r="4" spans="1:11" ht="12.65" customHeight="1" x14ac:dyDescent="0.25">
      <c r="B4" s="11" t="s">
        <v>26</v>
      </c>
      <c r="C4" s="11">
        <f>0.805*0.2</f>
        <v>0.16100000000000003</v>
      </c>
      <c r="D4" s="12">
        <v>0.9</v>
      </c>
      <c r="E4" s="11">
        <v>2</v>
      </c>
      <c r="F4" s="13">
        <f>C4*E4</f>
        <v>0.32200000000000006</v>
      </c>
      <c r="G4" s="9" t="s">
        <v>27</v>
      </c>
    </row>
    <row r="5" spans="1:11" ht="12.65" customHeight="1" x14ac:dyDescent="0.25">
      <c r="B5" s="11" t="s">
        <v>28</v>
      </c>
      <c r="C5" s="11">
        <f>0.76*0.16</f>
        <v>0.1216</v>
      </c>
      <c r="D5" s="12">
        <v>1</v>
      </c>
      <c r="E5" s="11">
        <v>2</v>
      </c>
      <c r="F5" s="13">
        <f t="shared" ref="F5" si="0">C5*E5</f>
        <v>0.2432</v>
      </c>
      <c r="G5" s="9" t="s">
        <v>27</v>
      </c>
    </row>
    <row r="6" spans="1:11" ht="12.65" customHeight="1" x14ac:dyDescent="0.25">
      <c r="B6" s="11"/>
      <c r="C6" s="11"/>
      <c r="D6" s="12"/>
      <c r="E6" s="11"/>
      <c r="F6" s="13"/>
    </row>
    <row r="7" spans="1:11" x14ac:dyDescent="0.25">
      <c r="B7" s="11"/>
      <c r="C7" s="11"/>
      <c r="D7" s="12"/>
      <c r="E7" s="11"/>
      <c r="F7" s="13"/>
    </row>
    <row r="8" spans="1:11" ht="13" x14ac:dyDescent="0.3">
      <c r="E8" s="18" t="s">
        <v>32</v>
      </c>
      <c r="F8" s="14">
        <f>SUM(F4:F7)</f>
        <v>0.56520000000000004</v>
      </c>
      <c r="G8" s="15" t="s">
        <v>29</v>
      </c>
    </row>
  </sheetData>
  <mergeCells count="1">
    <mergeCell ref="A1:J1"/>
  </mergeCells>
  <pageMargins left="0.36" right="0.36" top="0.55000000000000004" bottom="0.56999999999999995" header="0.4921259845" footer="0.492125984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7801-A495-43CC-81CD-265671A1184E}">
  <sheetPr>
    <tabColor rgb="FF92D050"/>
  </sheetPr>
  <dimension ref="A1:P120"/>
  <sheetViews>
    <sheetView zoomScale="90" zoomScaleNormal="100" workbookViewId="0">
      <selection activeCell="K35" sqref="K35"/>
    </sheetView>
  </sheetViews>
  <sheetFormatPr defaultColWidth="9.1796875" defaultRowHeight="12.5" x14ac:dyDescent="0.25"/>
  <cols>
    <col min="1" max="1" width="9.1796875" style="19"/>
    <col min="2" max="2" width="12.54296875" style="19" customWidth="1"/>
    <col min="3" max="3" width="31.1796875" style="19" customWidth="1"/>
    <col min="4" max="5" width="35.7265625" style="19" customWidth="1"/>
    <col min="6" max="6" width="4.81640625" style="19" customWidth="1"/>
    <col min="7" max="8" width="9.1796875" style="19"/>
    <col min="9" max="9" width="21.1796875" style="19" customWidth="1"/>
    <col min="10" max="10" width="14.54296875" style="19" customWidth="1"/>
    <col min="11" max="11" width="12.7265625" style="19" customWidth="1"/>
    <col min="12" max="12" width="14.81640625" style="19" customWidth="1"/>
    <col min="13" max="13" width="17.36328125" style="19" customWidth="1"/>
    <col min="14" max="16384" width="9.1796875" style="19"/>
  </cols>
  <sheetData>
    <row r="1" spans="1:13" ht="6" customHeight="1" thickBot="1" x14ac:dyDescent="0.3"/>
    <row r="2" spans="1:13" ht="19" thickTop="1" thickBot="1" x14ac:dyDescent="0.45">
      <c r="A2" s="20" t="s">
        <v>33</v>
      </c>
      <c r="B2" s="21"/>
      <c r="C2" s="21"/>
      <c r="D2" s="22" t="s">
        <v>34</v>
      </c>
      <c r="E2" s="23"/>
      <c r="I2" s="24" t="s">
        <v>35</v>
      </c>
    </row>
    <row r="3" spans="1:13" ht="16.5" thickTop="1" thickBot="1" x14ac:dyDescent="0.3">
      <c r="A3" s="25" t="s">
        <v>36</v>
      </c>
      <c r="B3" s="26"/>
      <c r="C3" s="27"/>
      <c r="D3" s="28" t="s">
        <v>37</v>
      </c>
      <c r="E3" s="29"/>
      <c r="I3" s="145" t="s">
        <v>38</v>
      </c>
      <c r="J3" s="147" t="s">
        <v>39</v>
      </c>
      <c r="K3" s="147" t="s">
        <v>40</v>
      </c>
      <c r="L3" s="147" t="s">
        <v>41</v>
      </c>
      <c r="M3" s="138" t="s">
        <v>42</v>
      </c>
    </row>
    <row r="4" spans="1:13" ht="16.5" thickTop="1" thickBot="1" x14ac:dyDescent="0.3">
      <c r="A4" s="30" t="s">
        <v>43</v>
      </c>
      <c r="B4" s="31"/>
      <c r="C4" s="32"/>
      <c r="D4" s="33"/>
      <c r="E4" s="34" t="s">
        <v>44</v>
      </c>
      <c r="I4" s="146"/>
      <c r="J4" s="148"/>
      <c r="K4" s="148"/>
      <c r="L4" s="148"/>
      <c r="M4" s="139"/>
    </row>
    <row r="5" spans="1:13" ht="16" thickTop="1" x14ac:dyDescent="0.25">
      <c r="A5" s="35" t="s">
        <v>45</v>
      </c>
      <c r="B5" s="36"/>
      <c r="C5" s="36"/>
      <c r="D5" s="36"/>
      <c r="E5" s="37"/>
      <c r="G5" s="38"/>
      <c r="I5" s="39"/>
      <c r="J5" s="40"/>
      <c r="K5" s="41"/>
      <c r="L5" s="42">
        <f xml:space="preserve"> J5 * K5</f>
        <v>0</v>
      </c>
      <c r="M5" s="43">
        <f t="shared" ref="M5:M10" si="0">J5-L5</f>
        <v>0</v>
      </c>
    </row>
    <row r="6" spans="1:13" ht="13.5" thickBot="1" x14ac:dyDescent="0.3">
      <c r="A6" s="44"/>
      <c r="B6" s="45" t="s">
        <v>46</v>
      </c>
      <c r="C6" s="45" t="s">
        <v>47</v>
      </c>
      <c r="D6" s="140" t="s">
        <v>48</v>
      </c>
      <c r="E6" s="141"/>
      <c r="I6" s="46"/>
      <c r="J6" s="47"/>
      <c r="K6" s="48"/>
      <c r="L6" s="42">
        <f t="shared" ref="L6:L10" si="1" xml:space="preserve"> J6 * K6</f>
        <v>0</v>
      </c>
      <c r="M6" s="43">
        <f>J6-L6</f>
        <v>0</v>
      </c>
    </row>
    <row r="7" spans="1:13" ht="15.5" x14ac:dyDescent="0.25">
      <c r="A7" s="49" t="s">
        <v>49</v>
      </c>
      <c r="B7" s="50" t="s">
        <v>50</v>
      </c>
      <c r="C7" s="51"/>
      <c r="D7" s="149" t="s">
        <v>51</v>
      </c>
      <c r="E7" s="150"/>
      <c r="I7" s="46"/>
      <c r="J7" s="47"/>
      <c r="K7" s="48"/>
      <c r="L7" s="42">
        <f t="shared" si="1"/>
        <v>0</v>
      </c>
      <c r="M7" s="43">
        <f>J7-L7</f>
        <v>0</v>
      </c>
    </row>
    <row r="8" spans="1:13" ht="15.5" x14ac:dyDescent="0.25">
      <c r="A8" s="52" t="s">
        <v>52</v>
      </c>
      <c r="B8" s="53" t="s">
        <v>53</v>
      </c>
      <c r="C8" s="54"/>
      <c r="D8" s="151" t="s">
        <v>54</v>
      </c>
      <c r="E8" s="152"/>
      <c r="I8" s="46"/>
      <c r="J8" s="47"/>
      <c r="K8" s="48"/>
      <c r="L8" s="42">
        <f t="shared" si="1"/>
        <v>0</v>
      </c>
      <c r="M8" s="43">
        <f>J8-L8</f>
        <v>0</v>
      </c>
    </row>
    <row r="9" spans="1:13" ht="16" thickBot="1" x14ac:dyDescent="0.3">
      <c r="A9" s="55" t="s">
        <v>55</v>
      </c>
      <c r="B9" s="56" t="s">
        <v>56</v>
      </c>
      <c r="C9" s="57"/>
      <c r="D9" s="153" t="s">
        <v>57</v>
      </c>
      <c r="E9" s="154"/>
      <c r="I9" s="46"/>
      <c r="J9" s="47"/>
      <c r="K9" s="48"/>
      <c r="L9" s="42">
        <f t="shared" si="1"/>
        <v>0</v>
      </c>
      <c r="M9" s="43">
        <f t="shared" si="0"/>
        <v>0</v>
      </c>
    </row>
    <row r="10" spans="1:13" ht="16" thickBot="1" x14ac:dyDescent="0.3">
      <c r="A10" s="58" t="s">
        <v>58</v>
      </c>
      <c r="B10" s="59"/>
      <c r="C10" s="60"/>
      <c r="D10" s="60"/>
      <c r="E10" s="61"/>
      <c r="I10" s="46"/>
      <c r="J10" s="47"/>
      <c r="K10" s="48"/>
      <c r="L10" s="42">
        <f t="shared" si="1"/>
        <v>0</v>
      </c>
      <c r="M10" s="43">
        <f t="shared" si="0"/>
        <v>0</v>
      </c>
    </row>
    <row r="11" spans="1:13" ht="42.75" customHeight="1" thickBot="1" x14ac:dyDescent="0.35">
      <c r="A11" s="155" t="s">
        <v>59</v>
      </c>
      <c r="B11" s="156"/>
      <c r="C11" s="156"/>
      <c r="D11" s="156"/>
      <c r="E11" s="157"/>
      <c r="I11" s="62" t="s">
        <v>60</v>
      </c>
      <c r="J11" s="63">
        <f>SUM(J5:J10)</f>
        <v>0</v>
      </c>
      <c r="K11" s="64" t="e">
        <f>L11/J11</f>
        <v>#DIV/0!</v>
      </c>
      <c r="L11" s="63">
        <f>SUM(L5:L10)</f>
        <v>0</v>
      </c>
      <c r="M11" s="65">
        <f>SUM(M5:M10)</f>
        <v>0</v>
      </c>
    </row>
    <row r="12" spans="1:13" ht="13" x14ac:dyDescent="0.25">
      <c r="A12" s="66"/>
      <c r="B12" s="67" t="s">
        <v>46</v>
      </c>
      <c r="C12" s="67" t="s">
        <v>47</v>
      </c>
      <c r="D12" s="158" t="s">
        <v>48</v>
      </c>
      <c r="E12" s="159"/>
    </row>
    <row r="13" spans="1:13" ht="13" x14ac:dyDescent="0.25">
      <c r="A13" s="142" t="s">
        <v>61</v>
      </c>
      <c r="B13" s="143"/>
      <c r="C13" s="143"/>
      <c r="D13" s="143"/>
      <c r="E13" s="144"/>
    </row>
    <row r="14" spans="1:13" ht="15.5" x14ac:dyDescent="0.25">
      <c r="A14" s="68" t="s">
        <v>62</v>
      </c>
      <c r="B14" s="50" t="s">
        <v>63</v>
      </c>
      <c r="C14" s="69"/>
      <c r="D14" s="160" t="s">
        <v>64</v>
      </c>
      <c r="E14" s="161"/>
    </row>
    <row r="15" spans="1:13" ht="18.5" thickBot="1" x14ac:dyDescent="0.45">
      <c r="A15" s="70" t="s">
        <v>65</v>
      </c>
      <c r="B15" s="71" t="s">
        <v>63</v>
      </c>
      <c r="C15" s="72"/>
      <c r="D15" s="162" t="s">
        <v>66</v>
      </c>
      <c r="E15" s="163"/>
      <c r="I15" s="24" t="s">
        <v>67</v>
      </c>
    </row>
    <row r="16" spans="1:13" ht="26" customHeight="1" x14ac:dyDescent="0.25">
      <c r="A16" s="142" t="s">
        <v>68</v>
      </c>
      <c r="B16" s="143"/>
      <c r="C16" s="143"/>
      <c r="D16" s="143"/>
      <c r="E16" s="144"/>
      <c r="I16" s="164" t="s">
        <v>69</v>
      </c>
      <c r="J16" s="166" t="s">
        <v>70</v>
      </c>
      <c r="K16" s="166" t="s">
        <v>71</v>
      </c>
      <c r="L16" s="170" t="s">
        <v>72</v>
      </c>
    </row>
    <row r="17" spans="1:16" ht="16" thickBot="1" x14ac:dyDescent="0.3">
      <c r="A17" s="68" t="s">
        <v>73</v>
      </c>
      <c r="B17" s="50" t="s">
        <v>63</v>
      </c>
      <c r="C17" s="69"/>
      <c r="D17" s="160" t="s">
        <v>74</v>
      </c>
      <c r="E17" s="161"/>
      <c r="I17" s="165"/>
      <c r="J17" s="167"/>
      <c r="K17" s="167"/>
      <c r="L17" s="171"/>
    </row>
    <row r="18" spans="1:16" ht="15.5" x14ac:dyDescent="0.25">
      <c r="A18" s="52" t="s">
        <v>75</v>
      </c>
      <c r="B18" s="53" t="s">
        <v>63</v>
      </c>
      <c r="C18" s="73"/>
      <c r="D18" s="151" t="s">
        <v>76</v>
      </c>
      <c r="E18" s="152"/>
      <c r="I18" s="74"/>
      <c r="J18" s="75"/>
      <c r="K18" s="76"/>
      <c r="L18" s="77">
        <f>J18*K18/1000</f>
        <v>0</v>
      </c>
    </row>
    <row r="19" spans="1:16" ht="15.5" x14ac:dyDescent="0.25">
      <c r="A19" s="52" t="s">
        <v>77</v>
      </c>
      <c r="B19" s="53" t="s">
        <v>63</v>
      </c>
      <c r="C19" s="73"/>
      <c r="D19" s="151" t="s">
        <v>78</v>
      </c>
      <c r="E19" s="152"/>
      <c r="I19" s="78"/>
      <c r="J19" s="75"/>
      <c r="K19" s="76"/>
      <c r="L19" s="77">
        <f>J19*K19/1000</f>
        <v>0</v>
      </c>
    </row>
    <row r="20" spans="1:16" ht="15.5" x14ac:dyDescent="0.25">
      <c r="A20" s="52" t="s">
        <v>79</v>
      </c>
      <c r="B20" s="53" t="s">
        <v>63</v>
      </c>
      <c r="C20" s="79"/>
      <c r="D20" s="151" t="s">
        <v>80</v>
      </c>
      <c r="E20" s="152"/>
      <c r="I20" s="80"/>
      <c r="J20" s="81"/>
      <c r="K20" s="82"/>
      <c r="L20" s="83"/>
    </row>
    <row r="21" spans="1:16" ht="16" thickBot="1" x14ac:dyDescent="0.35">
      <c r="A21" s="52" t="s">
        <v>81</v>
      </c>
      <c r="B21" s="53" t="s">
        <v>63</v>
      </c>
      <c r="C21" s="73"/>
      <c r="D21" s="151" t="s">
        <v>82</v>
      </c>
      <c r="E21" s="152"/>
      <c r="I21" s="84" t="s">
        <v>60</v>
      </c>
      <c r="J21" s="85"/>
      <c r="K21" s="86"/>
      <c r="L21" s="87">
        <f>SUM(L18:L19)</f>
        <v>0</v>
      </c>
    </row>
    <row r="22" spans="1:16" ht="15.5" x14ac:dyDescent="0.25">
      <c r="A22" s="52" t="s">
        <v>83</v>
      </c>
      <c r="B22" s="53" t="s">
        <v>63</v>
      </c>
      <c r="C22" s="79"/>
      <c r="D22" s="151" t="s">
        <v>84</v>
      </c>
      <c r="E22" s="152"/>
    </row>
    <row r="23" spans="1:16" ht="15.5" x14ac:dyDescent="0.25">
      <c r="A23" s="52" t="s">
        <v>85</v>
      </c>
      <c r="B23" s="53" t="s">
        <v>63</v>
      </c>
      <c r="C23" s="73"/>
      <c r="D23" s="151" t="s">
        <v>86</v>
      </c>
      <c r="E23" s="152"/>
    </row>
    <row r="24" spans="1:16" ht="15.5" x14ac:dyDescent="0.25">
      <c r="A24" s="52" t="s">
        <v>87</v>
      </c>
      <c r="B24" s="53" t="s">
        <v>63</v>
      </c>
      <c r="C24" s="73"/>
      <c r="D24" s="151" t="s">
        <v>88</v>
      </c>
      <c r="E24" s="152"/>
    </row>
    <row r="25" spans="1:16" ht="16" thickBot="1" x14ac:dyDescent="0.3">
      <c r="A25" s="55" t="s">
        <v>89</v>
      </c>
      <c r="B25" s="56" t="s">
        <v>63</v>
      </c>
      <c r="C25" s="57"/>
      <c r="D25" s="172" t="s">
        <v>90</v>
      </c>
      <c r="E25" s="173"/>
    </row>
    <row r="26" spans="1:16" ht="16" thickBot="1" x14ac:dyDescent="0.3">
      <c r="A26" s="174" t="s">
        <v>91</v>
      </c>
      <c r="B26" s="175"/>
      <c r="C26" s="175"/>
      <c r="D26" s="175"/>
      <c r="E26" s="176"/>
    </row>
    <row r="27" spans="1:16" ht="13" x14ac:dyDescent="0.25">
      <c r="A27" s="88"/>
      <c r="B27" s="89" t="s">
        <v>46</v>
      </c>
      <c r="C27" s="89" t="s">
        <v>47</v>
      </c>
      <c r="D27" s="168" t="s">
        <v>92</v>
      </c>
      <c r="E27" s="169"/>
    </row>
    <row r="28" spans="1:16" ht="15.5" x14ac:dyDescent="0.25">
      <c r="A28" s="68" t="s">
        <v>49</v>
      </c>
      <c r="B28" s="50" t="s">
        <v>63</v>
      </c>
      <c r="C28" s="90">
        <f>C14-C24</f>
        <v>0</v>
      </c>
      <c r="D28" s="160" t="s">
        <v>93</v>
      </c>
      <c r="E28" s="161"/>
    </row>
    <row r="29" spans="1:16" ht="15.5" x14ac:dyDescent="0.25">
      <c r="A29" s="52" t="s">
        <v>52</v>
      </c>
      <c r="B29" s="53" t="s">
        <v>63</v>
      </c>
      <c r="C29" s="79"/>
      <c r="D29" s="151" t="s">
        <v>94</v>
      </c>
      <c r="E29" s="152"/>
    </row>
    <row r="30" spans="1:16" ht="18.5" thickBot="1" x14ac:dyDescent="0.45">
      <c r="A30" s="52" t="s">
        <v>55</v>
      </c>
      <c r="B30" s="53" t="s">
        <v>63</v>
      </c>
      <c r="C30" s="73">
        <f>C14-C17-C21-C22-C23-C24</f>
        <v>0</v>
      </c>
      <c r="D30" s="151" t="s">
        <v>95</v>
      </c>
      <c r="E30" s="152"/>
      <c r="I30" s="24" t="s">
        <v>96</v>
      </c>
    </row>
    <row r="31" spans="1:16" ht="15.5" x14ac:dyDescent="0.25">
      <c r="A31" s="52" t="s">
        <v>97</v>
      </c>
      <c r="B31" s="53" t="s">
        <v>63</v>
      </c>
      <c r="C31" s="73">
        <f>C30+C17</f>
        <v>0</v>
      </c>
      <c r="D31" s="151" t="s">
        <v>98</v>
      </c>
      <c r="E31" s="152"/>
      <c r="I31" s="180" t="s">
        <v>99</v>
      </c>
      <c r="J31" s="183" t="s">
        <v>100</v>
      </c>
      <c r="K31" s="183" t="s">
        <v>101</v>
      </c>
      <c r="L31" s="186" t="s">
        <v>102</v>
      </c>
      <c r="M31" s="183" t="s">
        <v>103</v>
      </c>
      <c r="N31" s="189" t="s">
        <v>104</v>
      </c>
      <c r="O31" s="183" t="s">
        <v>105</v>
      </c>
      <c r="P31" s="177" t="s">
        <v>106</v>
      </c>
    </row>
    <row r="32" spans="1:16" ht="25" x14ac:dyDescent="0.25">
      <c r="A32" s="194" t="s">
        <v>107</v>
      </c>
      <c r="B32" s="91" t="s">
        <v>108</v>
      </c>
      <c r="C32" s="92"/>
      <c r="D32" s="197" t="s">
        <v>109</v>
      </c>
      <c r="E32" s="198"/>
      <c r="I32" s="181"/>
      <c r="J32" s="184"/>
      <c r="K32" s="184"/>
      <c r="L32" s="187"/>
      <c r="M32" s="184"/>
      <c r="N32" s="190"/>
      <c r="O32" s="184"/>
      <c r="P32" s="178"/>
    </row>
    <row r="33" spans="1:16" ht="15.5" x14ac:dyDescent="0.25">
      <c r="A33" s="195"/>
      <c r="B33" s="93" t="s">
        <v>110</v>
      </c>
      <c r="C33" s="94"/>
      <c r="D33" s="199" t="s">
        <v>111</v>
      </c>
      <c r="E33" s="200"/>
      <c r="I33" s="181"/>
      <c r="J33" s="184"/>
      <c r="K33" s="184"/>
      <c r="L33" s="187"/>
      <c r="M33" s="184"/>
      <c r="N33" s="190"/>
      <c r="O33" s="184"/>
      <c r="P33" s="178"/>
    </row>
    <row r="34" spans="1:16" ht="16" thickBot="1" x14ac:dyDescent="0.3">
      <c r="A34" s="195"/>
      <c r="B34" s="95" t="s">
        <v>112</v>
      </c>
      <c r="C34" s="96"/>
      <c r="D34" s="201" t="s">
        <v>113</v>
      </c>
      <c r="E34" s="202"/>
      <c r="I34" s="182"/>
      <c r="J34" s="185"/>
      <c r="K34" s="185"/>
      <c r="L34" s="188"/>
      <c r="M34" s="185"/>
      <c r="N34" s="191"/>
      <c r="O34" s="185"/>
      <c r="P34" s="179"/>
    </row>
    <row r="35" spans="1:16" ht="15.5" x14ac:dyDescent="0.25">
      <c r="A35" s="196"/>
      <c r="B35" s="97" t="s">
        <v>114</v>
      </c>
      <c r="C35" s="98"/>
      <c r="D35" s="203" t="s">
        <v>115</v>
      </c>
      <c r="E35" s="204"/>
      <c r="I35" s="99" t="s">
        <v>116</v>
      </c>
      <c r="J35" s="100"/>
      <c r="K35" s="101"/>
      <c r="L35" s="102"/>
      <c r="M35" s="101"/>
      <c r="N35" s="103">
        <f>K35*M35/1000</f>
        <v>0</v>
      </c>
      <c r="O35" s="104">
        <v>0.8</v>
      </c>
      <c r="P35" s="105">
        <f>N35/O35</f>
        <v>0</v>
      </c>
    </row>
    <row r="36" spans="1:16" ht="25" x14ac:dyDescent="0.25">
      <c r="A36" s="194" t="s">
        <v>117</v>
      </c>
      <c r="B36" s="91" t="s">
        <v>108</v>
      </c>
      <c r="C36" s="92"/>
      <c r="D36" s="197" t="s">
        <v>118</v>
      </c>
      <c r="E36" s="198"/>
      <c r="I36" s="106" t="s">
        <v>119</v>
      </c>
      <c r="J36" s="107"/>
      <c r="K36" s="47"/>
      <c r="L36" s="108"/>
      <c r="M36" s="47"/>
      <c r="N36" s="109">
        <f>K36*M36/1000</f>
        <v>0</v>
      </c>
      <c r="O36" s="107">
        <v>0.8</v>
      </c>
      <c r="P36" s="110">
        <f>N36/O36</f>
        <v>0</v>
      </c>
    </row>
    <row r="37" spans="1:16" ht="16" thickBot="1" x14ac:dyDescent="0.35">
      <c r="A37" s="195"/>
      <c r="B37" s="93" t="s">
        <v>110</v>
      </c>
      <c r="C37" s="94"/>
      <c r="D37" s="205" t="s">
        <v>120</v>
      </c>
      <c r="E37" s="206"/>
      <c r="I37" s="111" t="s">
        <v>121</v>
      </c>
      <c r="J37" s="85"/>
      <c r="K37" s="85"/>
      <c r="L37" s="85"/>
      <c r="M37" s="86"/>
      <c r="N37" s="112">
        <f xml:space="preserve"> SUM(N35:N36)</f>
        <v>0</v>
      </c>
      <c r="O37" s="113"/>
      <c r="P37" s="114">
        <f>SUM(P35:P36)</f>
        <v>0</v>
      </c>
    </row>
    <row r="38" spans="1:16" ht="15.5" x14ac:dyDescent="0.25">
      <c r="A38" s="195"/>
      <c r="B38" s="93" t="s">
        <v>112</v>
      </c>
      <c r="C38" s="94"/>
      <c r="D38" s="205" t="s">
        <v>122</v>
      </c>
      <c r="E38" s="206"/>
      <c r="N38" s="115" t="s">
        <v>123</v>
      </c>
    </row>
    <row r="39" spans="1:16" ht="15.5" x14ac:dyDescent="0.25">
      <c r="A39" s="196"/>
      <c r="B39" s="97" t="s">
        <v>114</v>
      </c>
      <c r="C39" s="98"/>
      <c r="D39" s="203" t="s">
        <v>124</v>
      </c>
      <c r="E39" s="204"/>
    </row>
    <row r="40" spans="1:16" ht="15.5" x14ac:dyDescent="0.25">
      <c r="A40" s="52" t="s">
        <v>125</v>
      </c>
      <c r="B40" s="53" t="s">
        <v>126</v>
      </c>
      <c r="C40" s="116" t="e">
        <f>C30/C14</f>
        <v>#DIV/0!</v>
      </c>
      <c r="D40" s="151" t="s">
        <v>127</v>
      </c>
      <c r="E40" s="152"/>
    </row>
    <row r="41" spans="1:16" ht="16" thickBot="1" x14ac:dyDescent="0.3">
      <c r="A41" s="117" t="s">
        <v>128</v>
      </c>
      <c r="B41" s="118" t="s">
        <v>126</v>
      </c>
      <c r="C41" s="119" t="e">
        <f>C31/C14</f>
        <v>#DIV/0!</v>
      </c>
      <c r="D41" s="192" t="s">
        <v>129</v>
      </c>
      <c r="E41" s="193"/>
    </row>
    <row r="42" spans="1:16" ht="13" thickTop="1" x14ac:dyDescent="0.25"/>
    <row r="117" ht="12.5" customHeight="1" x14ac:dyDescent="0.25"/>
    <row r="118" ht="12.5" customHeight="1" x14ac:dyDescent="0.25"/>
    <row r="119" ht="12.5" customHeight="1" x14ac:dyDescent="0.25"/>
    <row r="120" ht="13" customHeight="1" x14ac:dyDescent="0.25"/>
  </sheetData>
  <mergeCells count="54">
    <mergeCell ref="D40:E40"/>
    <mergeCell ref="D41:E41"/>
    <mergeCell ref="A32:A35"/>
    <mergeCell ref="D32:E32"/>
    <mergeCell ref="D33:E33"/>
    <mergeCell ref="D34:E34"/>
    <mergeCell ref="D35:E35"/>
    <mergeCell ref="A36:A39"/>
    <mergeCell ref="D36:E36"/>
    <mergeCell ref="D37:E37"/>
    <mergeCell ref="D38:E38"/>
    <mergeCell ref="D39:E39"/>
    <mergeCell ref="P31:P34"/>
    <mergeCell ref="D28:E28"/>
    <mergeCell ref="D29:E29"/>
    <mergeCell ref="D30:E30"/>
    <mergeCell ref="D31:E31"/>
    <mergeCell ref="I31:I34"/>
    <mergeCell ref="J31:J34"/>
    <mergeCell ref="K31:K34"/>
    <mergeCell ref="L31:L34"/>
    <mergeCell ref="M31:M34"/>
    <mergeCell ref="N31:N34"/>
    <mergeCell ref="O31:O34"/>
    <mergeCell ref="D27:E27"/>
    <mergeCell ref="L16:L17"/>
    <mergeCell ref="D17:E17"/>
    <mergeCell ref="D18:E18"/>
    <mergeCell ref="D19:E19"/>
    <mergeCell ref="D20:E20"/>
    <mergeCell ref="D21:E21"/>
    <mergeCell ref="K16:K17"/>
    <mergeCell ref="D22:E22"/>
    <mergeCell ref="D23:E23"/>
    <mergeCell ref="D24:E24"/>
    <mergeCell ref="D25:E25"/>
    <mergeCell ref="A26:E26"/>
    <mergeCell ref="D14:E14"/>
    <mergeCell ref="D15:E15"/>
    <mergeCell ref="A16:E16"/>
    <mergeCell ref="I16:I17"/>
    <mergeCell ref="J16:J17"/>
    <mergeCell ref="M3:M4"/>
    <mergeCell ref="D6:E6"/>
    <mergeCell ref="A13:E13"/>
    <mergeCell ref="I3:I4"/>
    <mergeCell ref="J3:J4"/>
    <mergeCell ref="K3:K4"/>
    <mergeCell ref="L3:L4"/>
    <mergeCell ref="D7:E7"/>
    <mergeCell ref="D8:E8"/>
    <mergeCell ref="D9:E9"/>
    <mergeCell ref="A11:E11"/>
    <mergeCell ref="D12:E12"/>
  </mergeCells>
  <pageMargins left="0.78740157499999996" right="0.78740157499999996" top="0.984251969" bottom="0.984251969" header="0.4921259845" footer="0.4921259845"/>
  <pageSetup paperSize="9" scale="72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7C73-D8B2-4D2B-85A7-9E62C91B5162}">
  <sheetPr>
    <tabColor rgb="FF92D050"/>
  </sheetPr>
  <dimension ref="A1:K19"/>
  <sheetViews>
    <sheetView topLeftCell="A2" zoomScale="175" zoomScaleNormal="175" workbookViewId="0">
      <selection activeCell="D7" sqref="D7"/>
    </sheetView>
  </sheetViews>
  <sheetFormatPr defaultColWidth="9.1796875" defaultRowHeight="12.5" x14ac:dyDescent="0.25"/>
  <cols>
    <col min="1" max="1" width="2.1796875" style="9" customWidth="1"/>
    <col min="2" max="2" width="15.7265625" style="9" customWidth="1"/>
    <col min="3" max="3" width="9.1796875" style="9"/>
    <col min="4" max="4" width="11.81640625" style="9" customWidth="1"/>
    <col min="5" max="7" width="9.1796875" style="9"/>
    <col min="8" max="8" width="12.1796875" style="9" customWidth="1"/>
    <col min="9" max="256" width="9.1796875" style="9"/>
    <col min="257" max="257" width="2.1796875" style="9" customWidth="1"/>
    <col min="258" max="258" width="15.7265625" style="9" customWidth="1"/>
    <col min="259" max="259" width="9.1796875" style="9"/>
    <col min="260" max="260" width="11.81640625" style="9" customWidth="1"/>
    <col min="261" max="263" width="9.1796875" style="9"/>
    <col min="264" max="264" width="12.1796875" style="9" customWidth="1"/>
    <col min="265" max="512" width="9.1796875" style="9"/>
    <col min="513" max="513" width="2.1796875" style="9" customWidth="1"/>
    <col min="514" max="514" width="15.7265625" style="9" customWidth="1"/>
    <col min="515" max="515" width="9.1796875" style="9"/>
    <col min="516" max="516" width="11.81640625" style="9" customWidth="1"/>
    <col min="517" max="519" width="9.1796875" style="9"/>
    <col min="520" max="520" width="12.1796875" style="9" customWidth="1"/>
    <col min="521" max="768" width="9.1796875" style="9"/>
    <col min="769" max="769" width="2.1796875" style="9" customWidth="1"/>
    <col min="770" max="770" width="15.7265625" style="9" customWidth="1"/>
    <col min="771" max="771" width="9.1796875" style="9"/>
    <col min="772" max="772" width="11.81640625" style="9" customWidth="1"/>
    <col min="773" max="775" width="9.1796875" style="9"/>
    <col min="776" max="776" width="12.1796875" style="9" customWidth="1"/>
    <col min="777" max="1024" width="9.1796875" style="9"/>
    <col min="1025" max="1025" width="2.1796875" style="9" customWidth="1"/>
    <col min="1026" max="1026" width="15.7265625" style="9" customWidth="1"/>
    <col min="1027" max="1027" width="9.1796875" style="9"/>
    <col min="1028" max="1028" width="11.81640625" style="9" customWidth="1"/>
    <col min="1029" max="1031" width="9.1796875" style="9"/>
    <col min="1032" max="1032" width="12.1796875" style="9" customWidth="1"/>
    <col min="1033" max="1280" width="9.1796875" style="9"/>
    <col min="1281" max="1281" width="2.1796875" style="9" customWidth="1"/>
    <col min="1282" max="1282" width="15.7265625" style="9" customWidth="1"/>
    <col min="1283" max="1283" width="9.1796875" style="9"/>
    <col min="1284" max="1284" width="11.81640625" style="9" customWidth="1"/>
    <col min="1285" max="1287" width="9.1796875" style="9"/>
    <col min="1288" max="1288" width="12.1796875" style="9" customWidth="1"/>
    <col min="1289" max="1536" width="9.1796875" style="9"/>
    <col min="1537" max="1537" width="2.1796875" style="9" customWidth="1"/>
    <col min="1538" max="1538" width="15.7265625" style="9" customWidth="1"/>
    <col min="1539" max="1539" width="9.1796875" style="9"/>
    <col min="1540" max="1540" width="11.81640625" style="9" customWidth="1"/>
    <col min="1541" max="1543" width="9.1796875" style="9"/>
    <col min="1544" max="1544" width="12.1796875" style="9" customWidth="1"/>
    <col min="1545" max="1792" width="9.1796875" style="9"/>
    <col min="1793" max="1793" width="2.1796875" style="9" customWidth="1"/>
    <col min="1794" max="1794" width="15.7265625" style="9" customWidth="1"/>
    <col min="1795" max="1795" width="9.1796875" style="9"/>
    <col min="1796" max="1796" width="11.81640625" style="9" customWidth="1"/>
    <col min="1797" max="1799" width="9.1796875" style="9"/>
    <col min="1800" max="1800" width="12.1796875" style="9" customWidth="1"/>
    <col min="1801" max="2048" width="9.1796875" style="9"/>
    <col min="2049" max="2049" width="2.1796875" style="9" customWidth="1"/>
    <col min="2050" max="2050" width="15.7265625" style="9" customWidth="1"/>
    <col min="2051" max="2051" width="9.1796875" style="9"/>
    <col min="2052" max="2052" width="11.81640625" style="9" customWidth="1"/>
    <col min="2053" max="2055" width="9.1796875" style="9"/>
    <col min="2056" max="2056" width="12.1796875" style="9" customWidth="1"/>
    <col min="2057" max="2304" width="9.1796875" style="9"/>
    <col min="2305" max="2305" width="2.1796875" style="9" customWidth="1"/>
    <col min="2306" max="2306" width="15.7265625" style="9" customWidth="1"/>
    <col min="2307" max="2307" width="9.1796875" style="9"/>
    <col min="2308" max="2308" width="11.81640625" style="9" customWidth="1"/>
    <col min="2309" max="2311" width="9.1796875" style="9"/>
    <col min="2312" max="2312" width="12.1796875" style="9" customWidth="1"/>
    <col min="2313" max="2560" width="9.1796875" style="9"/>
    <col min="2561" max="2561" width="2.1796875" style="9" customWidth="1"/>
    <col min="2562" max="2562" width="15.7265625" style="9" customWidth="1"/>
    <col min="2563" max="2563" width="9.1796875" style="9"/>
    <col min="2564" max="2564" width="11.81640625" style="9" customWidth="1"/>
    <col min="2565" max="2567" width="9.1796875" style="9"/>
    <col min="2568" max="2568" width="12.1796875" style="9" customWidth="1"/>
    <col min="2569" max="2816" width="9.1796875" style="9"/>
    <col min="2817" max="2817" width="2.1796875" style="9" customWidth="1"/>
    <col min="2818" max="2818" width="15.7265625" style="9" customWidth="1"/>
    <col min="2819" max="2819" width="9.1796875" style="9"/>
    <col min="2820" max="2820" width="11.81640625" style="9" customWidth="1"/>
    <col min="2821" max="2823" width="9.1796875" style="9"/>
    <col min="2824" max="2824" width="12.1796875" style="9" customWidth="1"/>
    <col min="2825" max="3072" width="9.1796875" style="9"/>
    <col min="3073" max="3073" width="2.1796875" style="9" customWidth="1"/>
    <col min="3074" max="3074" width="15.7265625" style="9" customWidth="1"/>
    <col min="3075" max="3075" width="9.1796875" style="9"/>
    <col min="3076" max="3076" width="11.81640625" style="9" customWidth="1"/>
    <col min="3077" max="3079" width="9.1796875" style="9"/>
    <col min="3080" max="3080" width="12.1796875" style="9" customWidth="1"/>
    <col min="3081" max="3328" width="9.1796875" style="9"/>
    <col min="3329" max="3329" width="2.1796875" style="9" customWidth="1"/>
    <col min="3330" max="3330" width="15.7265625" style="9" customWidth="1"/>
    <col min="3331" max="3331" width="9.1796875" style="9"/>
    <col min="3332" max="3332" width="11.81640625" style="9" customWidth="1"/>
    <col min="3333" max="3335" width="9.1796875" style="9"/>
    <col min="3336" max="3336" width="12.1796875" style="9" customWidth="1"/>
    <col min="3337" max="3584" width="9.1796875" style="9"/>
    <col min="3585" max="3585" width="2.1796875" style="9" customWidth="1"/>
    <col min="3586" max="3586" width="15.7265625" style="9" customWidth="1"/>
    <col min="3587" max="3587" width="9.1796875" style="9"/>
    <col min="3588" max="3588" width="11.81640625" style="9" customWidth="1"/>
    <col min="3589" max="3591" width="9.1796875" style="9"/>
    <col min="3592" max="3592" width="12.1796875" style="9" customWidth="1"/>
    <col min="3593" max="3840" width="9.1796875" style="9"/>
    <col min="3841" max="3841" width="2.1796875" style="9" customWidth="1"/>
    <col min="3842" max="3842" width="15.7265625" style="9" customWidth="1"/>
    <col min="3843" max="3843" width="9.1796875" style="9"/>
    <col min="3844" max="3844" width="11.81640625" style="9" customWidth="1"/>
    <col min="3845" max="3847" width="9.1796875" style="9"/>
    <col min="3848" max="3848" width="12.1796875" style="9" customWidth="1"/>
    <col min="3849" max="4096" width="9.1796875" style="9"/>
    <col min="4097" max="4097" width="2.1796875" style="9" customWidth="1"/>
    <col min="4098" max="4098" width="15.7265625" style="9" customWidth="1"/>
    <col min="4099" max="4099" width="9.1796875" style="9"/>
    <col min="4100" max="4100" width="11.81640625" style="9" customWidth="1"/>
    <col min="4101" max="4103" width="9.1796875" style="9"/>
    <col min="4104" max="4104" width="12.1796875" style="9" customWidth="1"/>
    <col min="4105" max="4352" width="9.1796875" style="9"/>
    <col min="4353" max="4353" width="2.1796875" style="9" customWidth="1"/>
    <col min="4354" max="4354" width="15.7265625" style="9" customWidth="1"/>
    <col min="4355" max="4355" width="9.1796875" style="9"/>
    <col min="4356" max="4356" width="11.81640625" style="9" customWidth="1"/>
    <col min="4357" max="4359" width="9.1796875" style="9"/>
    <col min="4360" max="4360" width="12.1796875" style="9" customWidth="1"/>
    <col min="4361" max="4608" width="9.1796875" style="9"/>
    <col min="4609" max="4609" width="2.1796875" style="9" customWidth="1"/>
    <col min="4610" max="4610" width="15.7265625" style="9" customWidth="1"/>
    <col min="4611" max="4611" width="9.1796875" style="9"/>
    <col min="4612" max="4612" width="11.81640625" style="9" customWidth="1"/>
    <col min="4613" max="4615" width="9.1796875" style="9"/>
    <col min="4616" max="4616" width="12.1796875" style="9" customWidth="1"/>
    <col min="4617" max="4864" width="9.1796875" style="9"/>
    <col min="4865" max="4865" width="2.1796875" style="9" customWidth="1"/>
    <col min="4866" max="4866" width="15.7265625" style="9" customWidth="1"/>
    <col min="4867" max="4867" width="9.1796875" style="9"/>
    <col min="4868" max="4868" width="11.81640625" style="9" customWidth="1"/>
    <col min="4869" max="4871" width="9.1796875" style="9"/>
    <col min="4872" max="4872" width="12.1796875" style="9" customWidth="1"/>
    <col min="4873" max="5120" width="9.1796875" style="9"/>
    <col min="5121" max="5121" width="2.1796875" style="9" customWidth="1"/>
    <col min="5122" max="5122" width="15.7265625" style="9" customWidth="1"/>
    <col min="5123" max="5123" width="9.1796875" style="9"/>
    <col min="5124" max="5124" width="11.81640625" style="9" customWidth="1"/>
    <col min="5125" max="5127" width="9.1796875" style="9"/>
    <col min="5128" max="5128" width="12.1796875" style="9" customWidth="1"/>
    <col min="5129" max="5376" width="9.1796875" style="9"/>
    <col min="5377" max="5377" width="2.1796875" style="9" customWidth="1"/>
    <col min="5378" max="5378" width="15.7265625" style="9" customWidth="1"/>
    <col min="5379" max="5379" width="9.1796875" style="9"/>
    <col min="5380" max="5380" width="11.81640625" style="9" customWidth="1"/>
    <col min="5381" max="5383" width="9.1796875" style="9"/>
    <col min="5384" max="5384" width="12.1796875" style="9" customWidth="1"/>
    <col min="5385" max="5632" width="9.1796875" style="9"/>
    <col min="5633" max="5633" width="2.1796875" style="9" customWidth="1"/>
    <col min="5634" max="5634" width="15.7265625" style="9" customWidth="1"/>
    <col min="5635" max="5635" width="9.1796875" style="9"/>
    <col min="5636" max="5636" width="11.81640625" style="9" customWidth="1"/>
    <col min="5637" max="5639" width="9.1796875" style="9"/>
    <col min="5640" max="5640" width="12.1796875" style="9" customWidth="1"/>
    <col min="5641" max="5888" width="9.1796875" style="9"/>
    <col min="5889" max="5889" width="2.1796875" style="9" customWidth="1"/>
    <col min="5890" max="5890" width="15.7265625" style="9" customWidth="1"/>
    <col min="5891" max="5891" width="9.1796875" style="9"/>
    <col min="5892" max="5892" width="11.81640625" style="9" customWidth="1"/>
    <col min="5893" max="5895" width="9.1796875" style="9"/>
    <col min="5896" max="5896" width="12.1796875" style="9" customWidth="1"/>
    <col min="5897" max="6144" width="9.1796875" style="9"/>
    <col min="6145" max="6145" width="2.1796875" style="9" customWidth="1"/>
    <col min="6146" max="6146" width="15.7265625" style="9" customWidth="1"/>
    <col min="6147" max="6147" width="9.1796875" style="9"/>
    <col min="6148" max="6148" width="11.81640625" style="9" customWidth="1"/>
    <col min="6149" max="6151" width="9.1796875" style="9"/>
    <col min="6152" max="6152" width="12.1796875" style="9" customWidth="1"/>
    <col min="6153" max="6400" width="9.1796875" style="9"/>
    <col min="6401" max="6401" width="2.1796875" style="9" customWidth="1"/>
    <col min="6402" max="6402" width="15.7265625" style="9" customWidth="1"/>
    <col min="6403" max="6403" width="9.1796875" style="9"/>
    <col min="6404" max="6404" width="11.81640625" style="9" customWidth="1"/>
    <col min="6405" max="6407" width="9.1796875" style="9"/>
    <col min="6408" max="6408" width="12.1796875" style="9" customWidth="1"/>
    <col min="6409" max="6656" width="9.1796875" style="9"/>
    <col min="6657" max="6657" width="2.1796875" style="9" customWidth="1"/>
    <col min="6658" max="6658" width="15.7265625" style="9" customWidth="1"/>
    <col min="6659" max="6659" width="9.1796875" style="9"/>
    <col min="6660" max="6660" width="11.81640625" style="9" customWidth="1"/>
    <col min="6661" max="6663" width="9.1796875" style="9"/>
    <col min="6664" max="6664" width="12.1796875" style="9" customWidth="1"/>
    <col min="6665" max="6912" width="9.1796875" style="9"/>
    <col min="6913" max="6913" width="2.1796875" style="9" customWidth="1"/>
    <col min="6914" max="6914" width="15.7265625" style="9" customWidth="1"/>
    <col min="6915" max="6915" width="9.1796875" style="9"/>
    <col min="6916" max="6916" width="11.81640625" style="9" customWidth="1"/>
    <col min="6917" max="6919" width="9.1796875" style="9"/>
    <col min="6920" max="6920" width="12.1796875" style="9" customWidth="1"/>
    <col min="6921" max="7168" width="9.1796875" style="9"/>
    <col min="7169" max="7169" width="2.1796875" style="9" customWidth="1"/>
    <col min="7170" max="7170" width="15.7265625" style="9" customWidth="1"/>
    <col min="7171" max="7171" width="9.1796875" style="9"/>
    <col min="7172" max="7172" width="11.81640625" style="9" customWidth="1"/>
    <col min="7173" max="7175" width="9.1796875" style="9"/>
    <col min="7176" max="7176" width="12.1796875" style="9" customWidth="1"/>
    <col min="7177" max="7424" width="9.1796875" style="9"/>
    <col min="7425" max="7425" width="2.1796875" style="9" customWidth="1"/>
    <col min="7426" max="7426" width="15.7265625" style="9" customWidth="1"/>
    <col min="7427" max="7427" width="9.1796875" style="9"/>
    <col min="7428" max="7428" width="11.81640625" style="9" customWidth="1"/>
    <col min="7429" max="7431" width="9.1796875" style="9"/>
    <col min="7432" max="7432" width="12.1796875" style="9" customWidth="1"/>
    <col min="7433" max="7680" width="9.1796875" style="9"/>
    <col min="7681" max="7681" width="2.1796875" style="9" customWidth="1"/>
    <col min="7682" max="7682" width="15.7265625" style="9" customWidth="1"/>
    <col min="7683" max="7683" width="9.1796875" style="9"/>
    <col min="7684" max="7684" width="11.81640625" style="9" customWidth="1"/>
    <col min="7685" max="7687" width="9.1796875" style="9"/>
    <col min="7688" max="7688" width="12.1796875" style="9" customWidth="1"/>
    <col min="7689" max="7936" width="9.1796875" style="9"/>
    <col min="7937" max="7937" width="2.1796875" style="9" customWidth="1"/>
    <col min="7938" max="7938" width="15.7265625" style="9" customWidth="1"/>
    <col min="7939" max="7939" width="9.1796875" style="9"/>
    <col min="7940" max="7940" width="11.81640625" style="9" customWidth="1"/>
    <col min="7941" max="7943" width="9.1796875" style="9"/>
    <col min="7944" max="7944" width="12.1796875" style="9" customWidth="1"/>
    <col min="7945" max="8192" width="9.1796875" style="9"/>
    <col min="8193" max="8193" width="2.1796875" style="9" customWidth="1"/>
    <col min="8194" max="8194" width="15.7265625" style="9" customWidth="1"/>
    <col min="8195" max="8195" width="9.1796875" style="9"/>
    <col min="8196" max="8196" width="11.81640625" style="9" customWidth="1"/>
    <col min="8197" max="8199" width="9.1796875" style="9"/>
    <col min="8200" max="8200" width="12.1796875" style="9" customWidth="1"/>
    <col min="8201" max="8448" width="9.1796875" style="9"/>
    <col min="8449" max="8449" width="2.1796875" style="9" customWidth="1"/>
    <col min="8450" max="8450" width="15.7265625" style="9" customWidth="1"/>
    <col min="8451" max="8451" width="9.1796875" style="9"/>
    <col min="8452" max="8452" width="11.81640625" style="9" customWidth="1"/>
    <col min="8453" max="8455" width="9.1796875" style="9"/>
    <col min="8456" max="8456" width="12.1796875" style="9" customWidth="1"/>
    <col min="8457" max="8704" width="9.1796875" style="9"/>
    <col min="8705" max="8705" width="2.1796875" style="9" customWidth="1"/>
    <col min="8706" max="8706" width="15.7265625" style="9" customWidth="1"/>
    <col min="8707" max="8707" width="9.1796875" style="9"/>
    <col min="8708" max="8708" width="11.81640625" style="9" customWidth="1"/>
    <col min="8709" max="8711" width="9.1796875" style="9"/>
    <col min="8712" max="8712" width="12.1796875" style="9" customWidth="1"/>
    <col min="8713" max="8960" width="9.1796875" style="9"/>
    <col min="8961" max="8961" width="2.1796875" style="9" customWidth="1"/>
    <col min="8962" max="8962" width="15.7265625" style="9" customWidth="1"/>
    <col min="8963" max="8963" width="9.1796875" style="9"/>
    <col min="8964" max="8964" width="11.81640625" style="9" customWidth="1"/>
    <col min="8965" max="8967" width="9.1796875" style="9"/>
    <col min="8968" max="8968" width="12.1796875" style="9" customWidth="1"/>
    <col min="8969" max="9216" width="9.1796875" style="9"/>
    <col min="9217" max="9217" width="2.1796875" style="9" customWidth="1"/>
    <col min="9218" max="9218" width="15.7265625" style="9" customWidth="1"/>
    <col min="9219" max="9219" width="9.1796875" style="9"/>
    <col min="9220" max="9220" width="11.81640625" style="9" customWidth="1"/>
    <col min="9221" max="9223" width="9.1796875" style="9"/>
    <col min="9224" max="9224" width="12.1796875" style="9" customWidth="1"/>
    <col min="9225" max="9472" width="9.1796875" style="9"/>
    <col min="9473" max="9473" width="2.1796875" style="9" customWidth="1"/>
    <col min="9474" max="9474" width="15.7265625" style="9" customWidth="1"/>
    <col min="9475" max="9475" width="9.1796875" style="9"/>
    <col min="9476" max="9476" width="11.81640625" style="9" customWidth="1"/>
    <col min="9477" max="9479" width="9.1796875" style="9"/>
    <col min="9480" max="9480" width="12.1796875" style="9" customWidth="1"/>
    <col min="9481" max="9728" width="9.1796875" style="9"/>
    <col min="9729" max="9729" width="2.1796875" style="9" customWidth="1"/>
    <col min="9730" max="9730" width="15.7265625" style="9" customWidth="1"/>
    <col min="9731" max="9731" width="9.1796875" style="9"/>
    <col min="9732" max="9732" width="11.81640625" style="9" customWidth="1"/>
    <col min="9733" max="9735" width="9.1796875" style="9"/>
    <col min="9736" max="9736" width="12.1796875" style="9" customWidth="1"/>
    <col min="9737" max="9984" width="9.1796875" style="9"/>
    <col min="9985" max="9985" width="2.1796875" style="9" customWidth="1"/>
    <col min="9986" max="9986" width="15.7265625" style="9" customWidth="1"/>
    <col min="9987" max="9987" width="9.1796875" style="9"/>
    <col min="9988" max="9988" width="11.81640625" style="9" customWidth="1"/>
    <col min="9989" max="9991" width="9.1796875" style="9"/>
    <col min="9992" max="9992" width="12.1796875" style="9" customWidth="1"/>
    <col min="9993" max="10240" width="9.1796875" style="9"/>
    <col min="10241" max="10241" width="2.1796875" style="9" customWidth="1"/>
    <col min="10242" max="10242" width="15.7265625" style="9" customWidth="1"/>
    <col min="10243" max="10243" width="9.1796875" style="9"/>
    <col min="10244" max="10244" width="11.81640625" style="9" customWidth="1"/>
    <col min="10245" max="10247" width="9.1796875" style="9"/>
    <col min="10248" max="10248" width="12.1796875" style="9" customWidth="1"/>
    <col min="10249" max="10496" width="9.1796875" style="9"/>
    <col min="10497" max="10497" width="2.1796875" style="9" customWidth="1"/>
    <col min="10498" max="10498" width="15.7265625" style="9" customWidth="1"/>
    <col min="10499" max="10499" width="9.1796875" style="9"/>
    <col min="10500" max="10500" width="11.81640625" style="9" customWidth="1"/>
    <col min="10501" max="10503" width="9.1796875" style="9"/>
    <col min="10504" max="10504" width="12.1796875" style="9" customWidth="1"/>
    <col min="10505" max="10752" width="9.1796875" style="9"/>
    <col min="10753" max="10753" width="2.1796875" style="9" customWidth="1"/>
    <col min="10754" max="10754" width="15.7265625" style="9" customWidth="1"/>
    <col min="10755" max="10755" width="9.1796875" style="9"/>
    <col min="10756" max="10756" width="11.81640625" style="9" customWidth="1"/>
    <col min="10757" max="10759" width="9.1796875" style="9"/>
    <col min="10760" max="10760" width="12.1796875" style="9" customWidth="1"/>
    <col min="10761" max="11008" width="9.1796875" style="9"/>
    <col min="11009" max="11009" width="2.1796875" style="9" customWidth="1"/>
    <col min="11010" max="11010" width="15.7265625" style="9" customWidth="1"/>
    <col min="11011" max="11011" width="9.1796875" style="9"/>
    <col min="11012" max="11012" width="11.81640625" style="9" customWidth="1"/>
    <col min="11013" max="11015" width="9.1796875" style="9"/>
    <col min="11016" max="11016" width="12.1796875" style="9" customWidth="1"/>
    <col min="11017" max="11264" width="9.1796875" style="9"/>
    <col min="11265" max="11265" width="2.1796875" style="9" customWidth="1"/>
    <col min="11266" max="11266" width="15.7265625" style="9" customWidth="1"/>
    <col min="11267" max="11267" width="9.1796875" style="9"/>
    <col min="11268" max="11268" width="11.81640625" style="9" customWidth="1"/>
    <col min="11269" max="11271" width="9.1796875" style="9"/>
    <col min="11272" max="11272" width="12.1796875" style="9" customWidth="1"/>
    <col min="11273" max="11520" width="9.1796875" style="9"/>
    <col min="11521" max="11521" width="2.1796875" style="9" customWidth="1"/>
    <col min="11522" max="11522" width="15.7265625" style="9" customWidth="1"/>
    <col min="11523" max="11523" width="9.1796875" style="9"/>
    <col min="11524" max="11524" width="11.81640625" style="9" customWidth="1"/>
    <col min="11525" max="11527" width="9.1796875" style="9"/>
    <col min="11528" max="11528" width="12.1796875" style="9" customWidth="1"/>
    <col min="11529" max="11776" width="9.1796875" style="9"/>
    <col min="11777" max="11777" width="2.1796875" style="9" customWidth="1"/>
    <col min="11778" max="11778" width="15.7265625" style="9" customWidth="1"/>
    <col min="11779" max="11779" width="9.1796875" style="9"/>
    <col min="11780" max="11780" width="11.81640625" style="9" customWidth="1"/>
    <col min="11781" max="11783" width="9.1796875" style="9"/>
    <col min="11784" max="11784" width="12.1796875" style="9" customWidth="1"/>
    <col min="11785" max="12032" width="9.1796875" style="9"/>
    <col min="12033" max="12033" width="2.1796875" style="9" customWidth="1"/>
    <col min="12034" max="12034" width="15.7265625" style="9" customWidth="1"/>
    <col min="12035" max="12035" width="9.1796875" style="9"/>
    <col min="12036" max="12036" width="11.81640625" style="9" customWidth="1"/>
    <col min="12037" max="12039" width="9.1796875" style="9"/>
    <col min="12040" max="12040" width="12.1796875" style="9" customWidth="1"/>
    <col min="12041" max="12288" width="9.1796875" style="9"/>
    <col min="12289" max="12289" width="2.1796875" style="9" customWidth="1"/>
    <col min="12290" max="12290" width="15.7265625" style="9" customWidth="1"/>
    <col min="12291" max="12291" width="9.1796875" style="9"/>
    <col min="12292" max="12292" width="11.81640625" style="9" customWidth="1"/>
    <col min="12293" max="12295" width="9.1796875" style="9"/>
    <col min="12296" max="12296" width="12.1796875" style="9" customWidth="1"/>
    <col min="12297" max="12544" width="9.1796875" style="9"/>
    <col min="12545" max="12545" width="2.1796875" style="9" customWidth="1"/>
    <col min="12546" max="12546" width="15.7265625" style="9" customWidth="1"/>
    <col min="12547" max="12547" width="9.1796875" style="9"/>
    <col min="12548" max="12548" width="11.81640625" style="9" customWidth="1"/>
    <col min="12549" max="12551" width="9.1796875" style="9"/>
    <col min="12552" max="12552" width="12.1796875" style="9" customWidth="1"/>
    <col min="12553" max="12800" width="9.1796875" style="9"/>
    <col min="12801" max="12801" width="2.1796875" style="9" customWidth="1"/>
    <col min="12802" max="12802" width="15.7265625" style="9" customWidth="1"/>
    <col min="12803" max="12803" width="9.1796875" style="9"/>
    <col min="12804" max="12804" width="11.81640625" style="9" customWidth="1"/>
    <col min="12805" max="12807" width="9.1796875" style="9"/>
    <col min="12808" max="12808" width="12.1796875" style="9" customWidth="1"/>
    <col min="12809" max="13056" width="9.1796875" style="9"/>
    <col min="13057" max="13057" width="2.1796875" style="9" customWidth="1"/>
    <col min="13058" max="13058" width="15.7265625" style="9" customWidth="1"/>
    <col min="13059" max="13059" width="9.1796875" style="9"/>
    <col min="13060" max="13060" width="11.81640625" style="9" customWidth="1"/>
    <col min="13061" max="13063" width="9.1796875" style="9"/>
    <col min="13064" max="13064" width="12.1796875" style="9" customWidth="1"/>
    <col min="13065" max="13312" width="9.1796875" style="9"/>
    <col min="13313" max="13313" width="2.1796875" style="9" customWidth="1"/>
    <col min="13314" max="13314" width="15.7265625" style="9" customWidth="1"/>
    <col min="13315" max="13315" width="9.1796875" style="9"/>
    <col min="13316" max="13316" width="11.81640625" style="9" customWidth="1"/>
    <col min="13317" max="13319" width="9.1796875" style="9"/>
    <col min="13320" max="13320" width="12.1796875" style="9" customWidth="1"/>
    <col min="13321" max="13568" width="9.1796875" style="9"/>
    <col min="13569" max="13569" width="2.1796875" style="9" customWidth="1"/>
    <col min="13570" max="13570" width="15.7265625" style="9" customWidth="1"/>
    <col min="13571" max="13571" width="9.1796875" style="9"/>
    <col min="13572" max="13572" width="11.81640625" style="9" customWidth="1"/>
    <col min="13573" max="13575" width="9.1796875" style="9"/>
    <col min="13576" max="13576" width="12.1796875" style="9" customWidth="1"/>
    <col min="13577" max="13824" width="9.1796875" style="9"/>
    <col min="13825" max="13825" width="2.1796875" style="9" customWidth="1"/>
    <col min="13826" max="13826" width="15.7265625" style="9" customWidth="1"/>
    <col min="13827" max="13827" width="9.1796875" style="9"/>
    <col min="13828" max="13828" width="11.81640625" style="9" customWidth="1"/>
    <col min="13829" max="13831" width="9.1796875" style="9"/>
    <col min="13832" max="13832" width="12.1796875" style="9" customWidth="1"/>
    <col min="13833" max="14080" width="9.1796875" style="9"/>
    <col min="14081" max="14081" width="2.1796875" style="9" customWidth="1"/>
    <col min="14082" max="14082" width="15.7265625" style="9" customWidth="1"/>
    <col min="14083" max="14083" width="9.1796875" style="9"/>
    <col min="14084" max="14084" width="11.81640625" style="9" customWidth="1"/>
    <col min="14085" max="14087" width="9.1796875" style="9"/>
    <col min="14088" max="14088" width="12.1796875" style="9" customWidth="1"/>
    <col min="14089" max="14336" width="9.1796875" style="9"/>
    <col min="14337" max="14337" width="2.1796875" style="9" customWidth="1"/>
    <col min="14338" max="14338" width="15.7265625" style="9" customWidth="1"/>
    <col min="14339" max="14339" width="9.1796875" style="9"/>
    <col min="14340" max="14340" width="11.81640625" style="9" customWidth="1"/>
    <col min="14341" max="14343" width="9.1796875" style="9"/>
    <col min="14344" max="14344" width="12.1796875" style="9" customWidth="1"/>
    <col min="14345" max="14592" width="9.1796875" style="9"/>
    <col min="14593" max="14593" width="2.1796875" style="9" customWidth="1"/>
    <col min="14594" max="14594" width="15.7265625" style="9" customWidth="1"/>
    <col min="14595" max="14595" width="9.1796875" style="9"/>
    <col min="14596" max="14596" width="11.81640625" style="9" customWidth="1"/>
    <col min="14597" max="14599" width="9.1796875" style="9"/>
    <col min="14600" max="14600" width="12.1796875" style="9" customWidth="1"/>
    <col min="14601" max="14848" width="9.1796875" style="9"/>
    <col min="14849" max="14849" width="2.1796875" style="9" customWidth="1"/>
    <col min="14850" max="14850" width="15.7265625" style="9" customWidth="1"/>
    <col min="14851" max="14851" width="9.1796875" style="9"/>
    <col min="14852" max="14852" width="11.81640625" style="9" customWidth="1"/>
    <col min="14853" max="14855" width="9.1796875" style="9"/>
    <col min="14856" max="14856" width="12.1796875" style="9" customWidth="1"/>
    <col min="14857" max="15104" width="9.1796875" style="9"/>
    <col min="15105" max="15105" width="2.1796875" style="9" customWidth="1"/>
    <col min="15106" max="15106" width="15.7265625" style="9" customWidth="1"/>
    <col min="15107" max="15107" width="9.1796875" style="9"/>
    <col min="15108" max="15108" width="11.81640625" style="9" customWidth="1"/>
    <col min="15109" max="15111" width="9.1796875" style="9"/>
    <col min="15112" max="15112" width="12.1796875" style="9" customWidth="1"/>
    <col min="15113" max="15360" width="9.1796875" style="9"/>
    <col min="15361" max="15361" width="2.1796875" style="9" customWidth="1"/>
    <col min="15362" max="15362" width="15.7265625" style="9" customWidth="1"/>
    <col min="15363" max="15363" width="9.1796875" style="9"/>
    <col min="15364" max="15364" width="11.81640625" style="9" customWidth="1"/>
    <col min="15365" max="15367" width="9.1796875" style="9"/>
    <col min="15368" max="15368" width="12.1796875" style="9" customWidth="1"/>
    <col min="15369" max="15616" width="9.1796875" style="9"/>
    <col min="15617" max="15617" width="2.1796875" style="9" customWidth="1"/>
    <col min="15618" max="15618" width="15.7265625" style="9" customWidth="1"/>
    <col min="15619" max="15619" width="9.1796875" style="9"/>
    <col min="15620" max="15620" width="11.81640625" style="9" customWidth="1"/>
    <col min="15621" max="15623" width="9.1796875" style="9"/>
    <col min="15624" max="15624" width="12.1796875" style="9" customWidth="1"/>
    <col min="15625" max="15872" width="9.1796875" style="9"/>
    <col min="15873" max="15873" width="2.1796875" style="9" customWidth="1"/>
    <col min="15874" max="15874" width="15.7265625" style="9" customWidth="1"/>
    <col min="15875" max="15875" width="9.1796875" style="9"/>
    <col min="15876" max="15876" width="11.81640625" style="9" customWidth="1"/>
    <col min="15877" max="15879" width="9.1796875" style="9"/>
    <col min="15880" max="15880" width="12.1796875" style="9" customWidth="1"/>
    <col min="15881" max="16128" width="9.1796875" style="9"/>
    <col min="16129" max="16129" width="2.1796875" style="9" customWidth="1"/>
    <col min="16130" max="16130" width="15.7265625" style="9" customWidth="1"/>
    <col min="16131" max="16131" width="9.1796875" style="9"/>
    <col min="16132" max="16132" width="11.81640625" style="9" customWidth="1"/>
    <col min="16133" max="16135" width="9.1796875" style="9"/>
    <col min="16136" max="16136" width="12.1796875" style="9" customWidth="1"/>
    <col min="16137" max="16384" width="9.1796875" style="9"/>
  </cols>
  <sheetData>
    <row r="1" spans="1:11" ht="20" x14ac:dyDescent="0.4">
      <c r="A1" s="137" t="s">
        <v>181</v>
      </c>
      <c r="B1" s="137"/>
      <c r="C1" s="137"/>
      <c r="D1" s="137"/>
      <c r="E1" s="137"/>
      <c r="F1" s="137"/>
      <c r="G1" s="137"/>
      <c r="H1" s="137"/>
      <c r="I1" s="137"/>
      <c r="J1" s="137"/>
      <c r="K1" s="8"/>
    </row>
    <row r="2" spans="1:11" ht="20" x14ac:dyDescent="0.4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10"/>
    </row>
    <row r="4" spans="1:11" ht="13" thickBot="1" x14ac:dyDescent="0.3">
      <c r="B4" s="9" t="s">
        <v>162</v>
      </c>
    </row>
    <row r="5" spans="1:11" ht="21" x14ac:dyDescent="0.35">
      <c r="B5" s="211">
        <v>101</v>
      </c>
      <c r="C5" s="212" t="s">
        <v>163</v>
      </c>
      <c r="D5" s="212" t="s">
        <v>164</v>
      </c>
      <c r="E5" s="212" t="s">
        <v>165</v>
      </c>
      <c r="F5" s="213" t="s">
        <v>166</v>
      </c>
    </row>
    <row r="6" spans="1:11" x14ac:dyDescent="0.25">
      <c r="B6" s="214" t="s">
        <v>167</v>
      </c>
      <c r="C6" s="215">
        <v>3.0000000000000001E-3</v>
      </c>
      <c r="D6" s="216">
        <v>1000</v>
      </c>
      <c r="E6" s="217">
        <f>C6*D6</f>
        <v>3</v>
      </c>
      <c r="F6" s="218">
        <f>ROUND(E6/1000,3)</f>
        <v>3.0000000000000001E-3</v>
      </c>
      <c r="G6" s="9" t="s">
        <v>168</v>
      </c>
      <c r="I6" s="219" t="s">
        <v>169</v>
      </c>
    </row>
    <row r="7" spans="1:11" x14ac:dyDescent="0.25">
      <c r="B7" s="214" t="s">
        <v>170</v>
      </c>
      <c r="C7" s="215">
        <v>3.0000000000000001E-3</v>
      </c>
      <c r="D7" s="216">
        <v>500</v>
      </c>
      <c r="E7" s="217">
        <f>C7*D7</f>
        <v>1.5</v>
      </c>
      <c r="F7" s="218">
        <f>ROUND(E7/1000,3)</f>
        <v>2E-3</v>
      </c>
      <c r="G7" s="9" t="s">
        <v>171</v>
      </c>
      <c r="I7" s="219" t="s">
        <v>169</v>
      </c>
    </row>
    <row r="8" spans="1:11" ht="13" thickBot="1" x14ac:dyDescent="0.3">
      <c r="B8" s="220" t="s">
        <v>172</v>
      </c>
      <c r="C8" s="221">
        <v>8.8999999999999995E-4</v>
      </c>
      <c r="D8" s="222">
        <v>2000</v>
      </c>
      <c r="E8" s="223">
        <f>C8*D8</f>
        <v>1.7799999999999998</v>
      </c>
      <c r="F8" s="224">
        <f>ROUND(E8/1000,3)</f>
        <v>2E-3</v>
      </c>
      <c r="G8" s="9" t="s">
        <v>173</v>
      </c>
      <c r="I8" s="9" t="s">
        <v>174</v>
      </c>
    </row>
    <row r="9" spans="1:11" ht="13" x14ac:dyDescent="0.3">
      <c r="D9" s="225">
        <f>AVERAGE(D6:D8)</f>
        <v>1166.6666666666667</v>
      </c>
      <c r="E9" s="10" t="s">
        <v>175</v>
      </c>
      <c r="F9" s="226">
        <f>SUM(F8)</f>
        <v>2E-3</v>
      </c>
      <c r="G9" s="10" t="s">
        <v>176</v>
      </c>
    </row>
    <row r="10" spans="1:11" x14ac:dyDescent="0.25">
      <c r="B10" s="9" t="s">
        <v>177</v>
      </c>
    </row>
    <row r="13" spans="1:11" ht="13" thickBot="1" x14ac:dyDescent="0.3">
      <c r="B13" s="9" t="s">
        <v>178</v>
      </c>
    </row>
    <row r="14" spans="1:11" ht="21" x14ac:dyDescent="0.35">
      <c r="B14" s="211">
        <v>102</v>
      </c>
      <c r="C14" s="212" t="s">
        <v>163</v>
      </c>
      <c r="D14" s="212" t="s">
        <v>164</v>
      </c>
      <c r="E14" s="212" t="s">
        <v>165</v>
      </c>
      <c r="F14" s="213" t="s">
        <v>166</v>
      </c>
    </row>
    <row r="15" spans="1:11" x14ac:dyDescent="0.25">
      <c r="B15" s="214"/>
      <c r="C15" s="11"/>
      <c r="D15" s="227">
        <f>8*252</f>
        <v>2016</v>
      </c>
      <c r="E15" s="228"/>
      <c r="F15" s="229"/>
    </row>
    <row r="16" spans="1:11" ht="13" thickBot="1" x14ac:dyDescent="0.3">
      <c r="B16" s="230"/>
      <c r="C16" s="231"/>
      <c r="D16" s="232"/>
      <c r="E16" s="233"/>
      <c r="F16" s="234"/>
    </row>
    <row r="18" spans="3:3" x14ac:dyDescent="0.25">
      <c r="C18" s="235" t="s">
        <v>179</v>
      </c>
    </row>
    <row r="19" spans="3:3" x14ac:dyDescent="0.25">
      <c r="C19" s="236" t="s">
        <v>180</v>
      </c>
    </row>
  </sheetData>
  <mergeCells count="2">
    <mergeCell ref="A1:J1"/>
    <mergeCell ref="A2:J2"/>
  </mergeCells>
  <pageMargins left="0.36" right="0.36" top="0.55000000000000004" bottom="0.56999999999999995" header="0.4921259845" footer="0.4921259845"/>
  <pageSetup paperSize="9" orientation="portrait" horizontalDpi="4294967293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AEA3-C356-411E-AB12-7C78430A0735}">
  <sheetPr>
    <tabColor rgb="FF92D050"/>
  </sheetPr>
  <dimension ref="A1:K39"/>
  <sheetViews>
    <sheetView zoomScale="175" zoomScaleNormal="175" workbookViewId="0">
      <selection activeCell="R20" sqref="R20"/>
    </sheetView>
  </sheetViews>
  <sheetFormatPr defaultColWidth="9.1796875" defaultRowHeight="12.5" x14ac:dyDescent="0.25"/>
  <cols>
    <col min="1" max="1" width="2.1796875" style="9" customWidth="1"/>
    <col min="2" max="2" width="15.7265625" style="9" customWidth="1"/>
    <col min="3" max="3" width="9.1796875" style="9"/>
    <col min="4" max="4" width="11.81640625" style="9" customWidth="1"/>
    <col min="5" max="6" width="9.1796875" style="9"/>
    <col min="7" max="7" width="12.453125" style="9" customWidth="1"/>
    <col min="8" max="8" width="11.453125" style="9" bestFit="1" customWidth="1"/>
    <col min="9" max="9" width="9.1796875" style="9"/>
    <col min="10" max="10" width="10.453125" style="9" bestFit="1" customWidth="1"/>
    <col min="11" max="16384" width="9.1796875" style="9"/>
  </cols>
  <sheetData>
    <row r="1" spans="1:11" ht="20" x14ac:dyDescent="0.4">
      <c r="A1" s="137" t="s">
        <v>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3" thickBot="1" x14ac:dyDescent="0.3"/>
    <row r="3" spans="1:11" ht="18" x14ac:dyDescent="0.4">
      <c r="B3" s="237" t="s">
        <v>182</v>
      </c>
      <c r="C3" s="238"/>
      <c r="D3" s="238"/>
      <c r="E3" s="239" t="s">
        <v>183</v>
      </c>
      <c r="F3" s="240" t="s">
        <v>184</v>
      </c>
    </row>
    <row r="4" spans="1:11" ht="5.25" customHeight="1" x14ac:dyDescent="0.25">
      <c r="B4" s="241"/>
      <c r="F4" s="242"/>
    </row>
    <row r="5" spans="1:11" ht="15" x14ac:dyDescent="0.3">
      <c r="B5" s="243" t="s">
        <v>185</v>
      </c>
      <c r="C5" s="244"/>
      <c r="D5" s="244"/>
      <c r="E5" s="245">
        <v>18278.37</v>
      </c>
      <c r="F5" s="281">
        <f>F6/(7*30*24)</f>
        <v>1</v>
      </c>
      <c r="H5" s="9" t="s">
        <v>186</v>
      </c>
    </row>
    <row r="6" spans="1:11" x14ac:dyDescent="0.25">
      <c r="A6" s="219"/>
      <c r="B6" s="246" t="s">
        <v>187</v>
      </c>
      <c r="C6" s="219"/>
      <c r="D6" s="219"/>
      <c r="E6" s="219"/>
      <c r="F6" s="247">
        <f>7*30*24</f>
        <v>5040</v>
      </c>
      <c r="H6" s="277"/>
      <c r="I6" s="9" t="s">
        <v>188</v>
      </c>
    </row>
    <row r="7" spans="1:11" ht="13.5" customHeight="1" x14ac:dyDescent="0.3">
      <c r="B7" s="246" t="s">
        <v>189</v>
      </c>
      <c r="C7" s="248">
        <v>0.98</v>
      </c>
      <c r="E7" s="249" t="s">
        <v>190</v>
      </c>
      <c r="F7" s="278">
        <f>E5*34330/10^6*C7</f>
        <v>614.94651325799998</v>
      </c>
      <c r="H7" s="279">
        <f>H6/(10.55/1000)</f>
        <v>0</v>
      </c>
      <c r="I7" s="9" t="s">
        <v>191</v>
      </c>
    </row>
    <row r="8" spans="1:11" ht="15.5" x14ac:dyDescent="0.35">
      <c r="B8" s="250" t="s">
        <v>192</v>
      </c>
      <c r="F8" s="242"/>
    </row>
    <row r="9" spans="1:11" ht="13" thickBot="1" x14ac:dyDescent="0.3">
      <c r="A9" s="251"/>
      <c r="B9" s="252" t="s">
        <v>193</v>
      </c>
      <c r="C9" s="251"/>
      <c r="D9" s="251"/>
      <c r="E9" s="251"/>
      <c r="F9" s="253"/>
    </row>
    <row r="10" spans="1:11" ht="22.5" customHeight="1" x14ac:dyDescent="0.35">
      <c r="A10" s="254"/>
      <c r="B10" s="211" t="s">
        <v>194</v>
      </c>
      <c r="C10" s="212" t="s">
        <v>193</v>
      </c>
      <c r="D10" s="212" t="s">
        <v>195</v>
      </c>
      <c r="E10" s="212" t="s">
        <v>165</v>
      </c>
      <c r="F10" s="213" t="s">
        <v>166</v>
      </c>
    </row>
    <row r="11" spans="1:11" x14ac:dyDescent="0.25">
      <c r="A11" s="255"/>
      <c r="B11" s="214" t="s">
        <v>196</v>
      </c>
      <c r="C11" s="11"/>
      <c r="D11" s="256"/>
      <c r="E11" s="228"/>
      <c r="F11" s="229"/>
    </row>
    <row r="12" spans="1:11" x14ac:dyDescent="0.25">
      <c r="A12" s="255"/>
      <c r="B12" s="214" t="s">
        <v>197</v>
      </c>
      <c r="C12" s="11"/>
      <c r="D12" s="256"/>
      <c r="E12" s="257"/>
      <c r="F12" s="229"/>
    </row>
    <row r="13" spans="1:11" ht="13" x14ac:dyDescent="0.3">
      <c r="A13" s="255"/>
      <c r="B13" s="214" t="s">
        <v>198</v>
      </c>
      <c r="C13" s="280">
        <v>1130</v>
      </c>
      <c r="D13" s="256">
        <f>E5/2</f>
        <v>9139.1849999999995</v>
      </c>
      <c r="E13" s="257">
        <f>ROUND(C13*D13/1000000,1)</f>
        <v>10.3</v>
      </c>
      <c r="F13" s="229">
        <f>ROUND(E13/1000,3)</f>
        <v>0.01</v>
      </c>
      <c r="G13" s="15" t="s">
        <v>217</v>
      </c>
    </row>
    <row r="14" spans="1:11" ht="13" x14ac:dyDescent="0.3">
      <c r="A14" s="255"/>
      <c r="B14" s="214" t="s">
        <v>199</v>
      </c>
      <c r="C14" s="280">
        <v>48</v>
      </c>
      <c r="D14" s="256">
        <f>D13</f>
        <v>9139.1849999999995</v>
      </c>
      <c r="E14" s="257">
        <f>ROUND(C14*D14/1000000,1)</f>
        <v>0.4</v>
      </c>
      <c r="F14" s="229">
        <f>ROUND(E14/1000,3)</f>
        <v>0</v>
      </c>
      <c r="G14" s="15"/>
    </row>
    <row r="15" spans="1:11" ht="13" thickBot="1" x14ac:dyDescent="0.3">
      <c r="A15" s="255"/>
      <c r="B15" s="230" t="s">
        <v>200</v>
      </c>
      <c r="C15" s="231"/>
      <c r="D15" s="232"/>
      <c r="E15" s="233"/>
      <c r="F15" s="234"/>
    </row>
    <row r="16" spans="1:11" ht="5.25" customHeight="1" thickBot="1" x14ac:dyDescent="0.4">
      <c r="B16" s="258"/>
      <c r="F16" s="242"/>
    </row>
    <row r="17" spans="1:7" ht="23" x14ac:dyDescent="0.35">
      <c r="A17" s="254"/>
      <c r="B17" s="211" t="s">
        <v>201</v>
      </c>
      <c r="C17" s="212" t="s">
        <v>193</v>
      </c>
      <c r="D17" s="212" t="s">
        <v>195</v>
      </c>
      <c r="E17" s="212" t="s">
        <v>165</v>
      </c>
      <c r="F17" s="213" t="s">
        <v>166</v>
      </c>
    </row>
    <row r="18" spans="1:7" x14ac:dyDescent="0.25">
      <c r="A18" s="255"/>
      <c r="B18" s="214" t="s">
        <v>196</v>
      </c>
      <c r="C18" s="11"/>
      <c r="D18" s="256"/>
      <c r="E18" s="228"/>
      <c r="F18" s="229"/>
    </row>
    <row r="19" spans="1:7" x14ac:dyDescent="0.25">
      <c r="A19" s="255"/>
      <c r="B19" s="214" t="s">
        <v>197</v>
      </c>
      <c r="C19" s="11"/>
      <c r="D19" s="256"/>
      <c r="E19" s="257"/>
      <c r="F19" s="229"/>
    </row>
    <row r="20" spans="1:7" ht="13" x14ac:dyDescent="0.3">
      <c r="A20" s="255"/>
      <c r="B20" s="214" t="s">
        <v>198</v>
      </c>
      <c r="C20" s="280">
        <v>1130</v>
      </c>
      <c r="D20" s="256">
        <f>D13</f>
        <v>9139.1849999999995</v>
      </c>
      <c r="E20" s="257">
        <f>ROUND(C20*D20/1000000,1)</f>
        <v>10.3</v>
      </c>
      <c r="F20" s="229">
        <f>ROUND(E20/1000,3)</f>
        <v>0.01</v>
      </c>
      <c r="G20" s="15" t="str">
        <f>G13</f>
        <v>věstník MŽP</v>
      </c>
    </row>
    <row r="21" spans="1:7" ht="13" x14ac:dyDescent="0.3">
      <c r="A21" s="255"/>
      <c r="B21" s="214" t="s">
        <v>199</v>
      </c>
      <c r="C21" s="280">
        <v>48</v>
      </c>
      <c r="D21" s="256">
        <f>D20</f>
        <v>9139.1849999999995</v>
      </c>
      <c r="E21" s="257">
        <f>ROUND(C21*D21/1000000,1)</f>
        <v>0.4</v>
      </c>
      <c r="F21" s="229">
        <f>ROUND(E21/1000,3)</f>
        <v>0</v>
      </c>
      <c r="G21" s="15"/>
    </row>
    <row r="22" spans="1:7" ht="13" thickBot="1" x14ac:dyDescent="0.3">
      <c r="A22" s="255"/>
      <c r="B22" s="230" t="s">
        <v>200</v>
      </c>
      <c r="C22" s="231"/>
      <c r="D22" s="232"/>
      <c r="E22" s="233"/>
      <c r="F22" s="234"/>
    </row>
    <row r="23" spans="1:7" ht="5.25" customHeight="1" x14ac:dyDescent="0.25"/>
    <row r="24" spans="1:7" ht="15.75" customHeight="1" thickBot="1" x14ac:dyDescent="0.3"/>
    <row r="25" spans="1:7" ht="16" thickBot="1" x14ac:dyDescent="0.4">
      <c r="B25" s="259" t="s">
        <v>202</v>
      </c>
      <c r="C25" s="260"/>
      <c r="D25" s="260"/>
      <c r="E25" s="260"/>
      <c r="F25" s="261"/>
    </row>
    <row r="26" spans="1:7" ht="15.5" x14ac:dyDescent="0.35">
      <c r="B26" s="262" t="s">
        <v>203</v>
      </c>
      <c r="C26" s="212" t="s">
        <v>166</v>
      </c>
      <c r="D26" s="212" t="s">
        <v>204</v>
      </c>
      <c r="E26" s="212"/>
      <c r="F26" s="213"/>
    </row>
    <row r="27" spans="1:7" ht="13" x14ac:dyDescent="0.3">
      <c r="B27" s="214" t="s">
        <v>198</v>
      </c>
      <c r="C27" s="282">
        <f>F13+F20</f>
        <v>0.02</v>
      </c>
      <c r="D27" s="263"/>
      <c r="E27" s="263"/>
      <c r="F27" s="264"/>
    </row>
    <row r="28" spans="1:7" ht="13" x14ac:dyDescent="0.3">
      <c r="B28" s="214" t="s">
        <v>199</v>
      </c>
      <c r="C28" s="282">
        <f>F14+F21</f>
        <v>0</v>
      </c>
      <c r="D28" s="263"/>
      <c r="E28" s="263"/>
      <c r="F28" s="264"/>
    </row>
    <row r="29" spans="1:7" ht="13.5" thickBot="1" x14ac:dyDescent="0.35">
      <c r="B29" s="230"/>
      <c r="C29" s="265"/>
      <c r="D29" s="266"/>
      <c r="E29" s="266"/>
      <c r="F29" s="267"/>
    </row>
    <row r="31" spans="1:7" ht="13" thickBot="1" x14ac:dyDescent="0.3">
      <c r="B31" s="9" t="s">
        <v>205</v>
      </c>
    </row>
    <row r="32" spans="1:7" ht="21" x14ac:dyDescent="0.35">
      <c r="B32" s="211">
        <v>101</v>
      </c>
      <c r="C32" s="212" t="s">
        <v>206</v>
      </c>
      <c r="D32" s="212" t="s">
        <v>164</v>
      </c>
      <c r="E32" s="212" t="s">
        <v>165</v>
      </c>
      <c r="F32" s="213" t="s">
        <v>207</v>
      </c>
    </row>
    <row r="33" spans="2:10" x14ac:dyDescent="0.25">
      <c r="B33" s="214" t="s">
        <v>208</v>
      </c>
      <c r="C33" s="268">
        <v>3.2399999999999998E-3</v>
      </c>
      <c r="D33" s="269">
        <v>4200</v>
      </c>
      <c r="E33" s="228">
        <f t="shared" ref="E33:E38" si="0">C33*D33</f>
        <v>13.607999999999999</v>
      </c>
      <c r="F33" s="229">
        <f t="shared" ref="F33:F38" si="1">ROUND(E33/1000,3)</f>
        <v>1.4E-2</v>
      </c>
      <c r="G33" s="235" t="s">
        <v>209</v>
      </c>
      <c r="H33" s="235"/>
      <c r="J33" s="270"/>
    </row>
    <row r="34" spans="2:10" x14ac:dyDescent="0.25">
      <c r="B34" s="214" t="s">
        <v>210</v>
      </c>
      <c r="C34" s="271">
        <v>3.0699999999999998E-3</v>
      </c>
      <c r="D34" s="272">
        <f>D33</f>
        <v>4200</v>
      </c>
      <c r="E34" s="228">
        <f t="shared" si="0"/>
        <v>12.893999999999998</v>
      </c>
      <c r="F34" s="229">
        <f t="shared" si="1"/>
        <v>1.2999999999999999E-2</v>
      </c>
      <c r="G34" s="235" t="s">
        <v>209</v>
      </c>
      <c r="H34" s="235"/>
    </row>
    <row r="35" spans="2:10" x14ac:dyDescent="0.25">
      <c r="B35" s="214" t="s">
        <v>211</v>
      </c>
      <c r="C35" s="271">
        <v>4.2500000000000003E-3</v>
      </c>
      <c r="D35" s="272">
        <f>D33</f>
        <v>4200</v>
      </c>
      <c r="E35" s="228">
        <f t="shared" si="0"/>
        <v>17.850000000000001</v>
      </c>
      <c r="F35" s="229">
        <f t="shared" si="1"/>
        <v>1.7999999999999999E-2</v>
      </c>
      <c r="G35" s="235" t="s">
        <v>209</v>
      </c>
      <c r="H35" s="235"/>
    </row>
    <row r="36" spans="2:10" x14ac:dyDescent="0.25">
      <c r="B36" s="214" t="s">
        <v>212</v>
      </c>
      <c r="C36" s="271">
        <v>2.3600000000000001E-3</v>
      </c>
      <c r="D36" s="272">
        <f>D33</f>
        <v>4200</v>
      </c>
      <c r="E36" s="228">
        <f t="shared" si="0"/>
        <v>9.9120000000000008</v>
      </c>
      <c r="F36" s="229">
        <f t="shared" si="1"/>
        <v>0.01</v>
      </c>
      <c r="G36" s="235" t="s">
        <v>209</v>
      </c>
      <c r="H36" s="235"/>
    </row>
    <row r="37" spans="2:10" x14ac:dyDescent="0.25">
      <c r="B37" s="214" t="s">
        <v>213</v>
      </c>
      <c r="C37" s="271">
        <v>3.2499999999999999E-3</v>
      </c>
      <c r="D37" s="272">
        <f>D33</f>
        <v>4200</v>
      </c>
      <c r="E37" s="228">
        <f t="shared" si="0"/>
        <v>13.649999999999999</v>
      </c>
      <c r="F37" s="229">
        <f t="shared" si="1"/>
        <v>1.4E-2</v>
      </c>
      <c r="G37" s="235" t="s">
        <v>209</v>
      </c>
      <c r="H37" s="235"/>
    </row>
    <row r="38" spans="2:10" x14ac:dyDescent="0.25">
      <c r="B38" s="214" t="s">
        <v>214</v>
      </c>
      <c r="C38" s="271">
        <v>3.29E-3</v>
      </c>
      <c r="D38" s="272">
        <f>D33</f>
        <v>4200</v>
      </c>
      <c r="E38" s="228">
        <f t="shared" si="0"/>
        <v>13.818</v>
      </c>
      <c r="F38" s="229">
        <f t="shared" si="1"/>
        <v>1.4E-2</v>
      </c>
      <c r="G38" s="235" t="s">
        <v>209</v>
      </c>
      <c r="H38" s="235"/>
    </row>
    <row r="39" spans="2:10" ht="13.5" thickBot="1" x14ac:dyDescent="0.35">
      <c r="B39" s="273" t="s">
        <v>215</v>
      </c>
      <c r="C39" s="274"/>
      <c r="D39" s="274"/>
      <c r="E39" s="275"/>
      <c r="F39" s="276">
        <f>SUM(F33:F38)</f>
        <v>8.3000000000000004E-2</v>
      </c>
    </row>
  </sheetData>
  <mergeCells count="3">
    <mergeCell ref="A1:K1"/>
    <mergeCell ref="B5:D5"/>
    <mergeCell ref="B39:E39"/>
  </mergeCells>
  <pageMargins left="0.36" right="0.36" top="0.55000000000000004" bottom="0.56999999999999995" header="0.4921259845" footer="0.4921259845"/>
  <pageSetup paperSize="9" orientation="portrait" horizontalDpi="4294967293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4545-D84A-4E2B-9950-8ECA6421F024}">
  <sheetPr>
    <tabColor rgb="FF92D050"/>
  </sheetPr>
  <dimension ref="A1:V50"/>
  <sheetViews>
    <sheetView zoomScale="130" zoomScaleNormal="130" zoomScaleSheetLayoutView="100" workbookViewId="0">
      <selection activeCell="Q14" sqref="Q14"/>
    </sheetView>
  </sheetViews>
  <sheetFormatPr defaultColWidth="9.1796875" defaultRowHeight="12.5" x14ac:dyDescent="0.25"/>
  <cols>
    <col min="1" max="1" width="1.453125" style="283" customWidth="1"/>
    <col min="2" max="2" width="15.7265625" style="283" customWidth="1"/>
    <col min="3" max="3" width="11.453125" style="283" customWidth="1"/>
    <col min="4" max="4" width="11.54296875" style="283" customWidth="1"/>
    <col min="5" max="5" width="10.54296875" style="283" customWidth="1"/>
    <col min="6" max="6" width="11.26953125" style="283" customWidth="1"/>
    <col min="7" max="7" width="14.08984375" style="283" customWidth="1"/>
    <col min="8" max="8" width="11" style="283" customWidth="1"/>
    <col min="9" max="9" width="10.54296875" style="283" customWidth="1"/>
    <col min="10" max="10" width="9.81640625" style="283" customWidth="1"/>
    <col min="11" max="11" width="1.26953125" style="283" customWidth="1"/>
    <col min="12" max="12" width="11" style="283" customWidth="1"/>
    <col min="13" max="13" width="11.1796875" style="283" customWidth="1"/>
    <col min="14" max="14" width="1.26953125" style="283" customWidth="1"/>
    <col min="15" max="18" width="9.1796875" style="283"/>
    <col min="19" max="20" width="9.26953125" style="283" bestFit="1" customWidth="1"/>
    <col min="21" max="21" width="10.453125" style="283" bestFit="1" customWidth="1"/>
    <col min="22" max="25" width="9.26953125" style="283" bestFit="1" customWidth="1"/>
    <col min="26" max="16384" width="9.1796875" style="283"/>
  </cols>
  <sheetData>
    <row r="1" spans="1:22" ht="25.5" thickBot="1" x14ac:dyDescent="0.55000000000000004">
      <c r="B1" s="284" t="s">
        <v>271</v>
      </c>
      <c r="C1" s="284"/>
      <c r="D1" s="284"/>
      <c r="E1" s="284"/>
      <c r="F1" s="284"/>
      <c r="G1" s="284"/>
      <c r="H1" s="284"/>
      <c r="I1" s="284"/>
      <c r="J1" s="284"/>
      <c r="K1" s="285"/>
      <c r="L1" s="285"/>
      <c r="M1" s="286"/>
    </row>
    <row r="2" spans="1:22" ht="23.25" customHeight="1" thickBot="1" x14ac:dyDescent="0.45">
      <c r="A2" s="287"/>
      <c r="B2" s="288" t="s">
        <v>231</v>
      </c>
      <c r="C2" s="289"/>
      <c r="D2" s="289"/>
      <c r="E2" s="289"/>
      <c r="F2" s="289"/>
      <c r="G2" s="289"/>
      <c r="H2" s="329" t="s">
        <v>227</v>
      </c>
      <c r="I2" s="290">
        <v>45534</v>
      </c>
      <c r="J2" s="289"/>
      <c r="K2" s="291"/>
      <c r="L2" s="291"/>
      <c r="M2" s="291"/>
      <c r="N2" s="292"/>
    </row>
    <row r="3" spans="1:22" ht="23.25" customHeight="1" thickTop="1" x14ac:dyDescent="0.3">
      <c r="A3" s="293"/>
      <c r="B3" s="294" t="s">
        <v>218</v>
      </c>
      <c r="C3" s="295"/>
      <c r="D3" s="295"/>
      <c r="E3" s="296"/>
      <c r="F3" s="297"/>
      <c r="G3" s="294" t="s">
        <v>218</v>
      </c>
      <c r="H3" s="295"/>
      <c r="I3" s="295"/>
      <c r="J3" s="296"/>
      <c r="K3" s="298"/>
      <c r="L3" s="294" t="s">
        <v>230</v>
      </c>
      <c r="M3" s="299"/>
      <c r="N3" s="300"/>
      <c r="O3" s="342" t="s">
        <v>232</v>
      </c>
      <c r="P3" s="343"/>
      <c r="Q3" s="343"/>
    </row>
    <row r="4" spans="1:22" ht="23.25" customHeight="1" x14ac:dyDescent="0.3">
      <c r="A4" s="293"/>
      <c r="B4" s="330" t="s">
        <v>233</v>
      </c>
      <c r="C4" s="301"/>
      <c r="D4" s="301"/>
      <c r="E4" s="302"/>
      <c r="G4" s="330" t="s">
        <v>228</v>
      </c>
      <c r="H4" s="301"/>
      <c r="I4" s="301"/>
      <c r="J4" s="302"/>
      <c r="K4" s="298"/>
      <c r="L4" s="439" t="s">
        <v>274</v>
      </c>
      <c r="M4" s="440"/>
      <c r="N4" s="300"/>
      <c r="O4" s="342"/>
      <c r="P4" s="343"/>
      <c r="Q4" s="343"/>
    </row>
    <row r="5" spans="1:22" ht="23.25" customHeight="1" x14ac:dyDescent="0.3">
      <c r="A5" s="293"/>
      <c r="B5" s="303" t="s">
        <v>219</v>
      </c>
      <c r="C5" s="304" t="s">
        <v>220</v>
      </c>
      <c r="D5" s="304" t="s">
        <v>221</v>
      </c>
      <c r="E5" s="305" t="s">
        <v>176</v>
      </c>
      <c r="G5" s="303" t="s">
        <v>219</v>
      </c>
      <c r="H5" s="304" t="s">
        <v>220</v>
      </c>
      <c r="I5" s="304" t="s">
        <v>221</v>
      </c>
      <c r="J5" s="305" t="s">
        <v>176</v>
      </c>
      <c r="K5" s="298"/>
      <c r="L5" s="303" t="s">
        <v>222</v>
      </c>
      <c r="M5" s="306" t="s">
        <v>176</v>
      </c>
      <c r="N5" s="300"/>
      <c r="O5" s="342"/>
      <c r="P5" s="343"/>
      <c r="Q5" s="343"/>
    </row>
    <row r="6" spans="1:22" ht="23.25" customHeight="1" x14ac:dyDescent="0.3">
      <c r="A6" s="293"/>
      <c r="B6" s="307" t="s">
        <v>198</v>
      </c>
      <c r="C6" s="331">
        <f>I9</f>
        <v>249138</v>
      </c>
      <c r="D6" s="308">
        <v>0.59670000000000001</v>
      </c>
      <c r="E6" s="332">
        <f>C6*D6/1000000</f>
        <v>0.1486606446</v>
      </c>
      <c r="G6" s="307" t="s">
        <v>198</v>
      </c>
      <c r="H6" s="331"/>
      <c r="I6" s="333"/>
      <c r="J6" s="334"/>
      <c r="K6" s="298"/>
      <c r="L6" s="307" t="s">
        <v>198</v>
      </c>
      <c r="M6" s="335">
        <f>E6+J6</f>
        <v>0.1486606446</v>
      </c>
      <c r="N6" s="300"/>
    </row>
    <row r="7" spans="1:22" ht="23.25" customHeight="1" thickBot="1" x14ac:dyDescent="0.35">
      <c r="A7" s="293"/>
      <c r="B7" s="309" t="s">
        <v>199</v>
      </c>
      <c r="C7" s="336">
        <f>C6</f>
        <v>249138</v>
      </c>
      <c r="D7" s="310">
        <v>9.0899999999999995E-2</v>
      </c>
      <c r="E7" s="337">
        <f>C7*D7/1000000</f>
        <v>2.26466442E-2</v>
      </c>
      <c r="G7" s="309" t="s">
        <v>199</v>
      </c>
      <c r="H7" s="336"/>
      <c r="I7" s="338"/>
      <c r="J7" s="339"/>
      <c r="K7" s="298"/>
      <c r="L7" s="309" t="s">
        <v>199</v>
      </c>
      <c r="M7" s="340">
        <f>E7+J7</f>
        <v>2.26466442E-2</v>
      </c>
      <c r="N7" s="300"/>
    </row>
    <row r="8" spans="1:22" ht="23.25" customHeight="1" thickTop="1" x14ac:dyDescent="0.3">
      <c r="A8" s="293"/>
      <c r="B8" s="314"/>
      <c r="C8" s="315"/>
      <c r="D8" s="315"/>
      <c r="E8" s="315"/>
      <c r="F8" s="312"/>
      <c r="G8" s="313" t="s">
        <v>223</v>
      </c>
      <c r="H8" s="285"/>
      <c r="I8" s="285"/>
      <c r="J8" s="285"/>
      <c r="L8" s="311"/>
      <c r="M8" s="311"/>
      <c r="N8" s="300"/>
    </row>
    <row r="9" spans="1:22" ht="23.25" customHeight="1" x14ac:dyDescent="0.3">
      <c r="A9" s="293"/>
      <c r="C9" s="319"/>
      <c r="D9" s="320"/>
      <c r="E9" s="318"/>
      <c r="G9" s="321"/>
      <c r="H9" s="316" t="s">
        <v>234</v>
      </c>
      <c r="I9" s="317">
        <v>249138</v>
      </c>
      <c r="J9" s="318" t="s">
        <v>191</v>
      </c>
      <c r="M9" s="318"/>
      <c r="N9" s="300"/>
    </row>
    <row r="10" spans="1:22" ht="23.25" customHeight="1" x14ac:dyDescent="0.3">
      <c r="A10" s="293"/>
      <c r="C10" s="319"/>
      <c r="D10" s="320"/>
      <c r="E10" s="321"/>
      <c r="G10" s="321"/>
      <c r="H10" s="319" t="s">
        <v>224</v>
      </c>
      <c r="I10" s="341" t="s">
        <v>235</v>
      </c>
      <c r="J10" s="322">
        <f>I9*34330*0.97/1000000</f>
        <v>8296.3203138000008</v>
      </c>
      <c r="L10" s="283" t="s">
        <v>225</v>
      </c>
      <c r="M10" s="322">
        <f>I9*34050*0.92/1000000</f>
        <v>7804.4969879999999</v>
      </c>
      <c r="N10" s="300"/>
    </row>
    <row r="11" spans="1:22" ht="23.25" customHeight="1" x14ac:dyDescent="0.3">
      <c r="A11" s="293"/>
      <c r="C11" s="319"/>
      <c r="E11" s="321"/>
      <c r="G11" s="321"/>
      <c r="H11" s="319" t="s">
        <v>226</v>
      </c>
      <c r="I11" s="341" t="s">
        <v>235</v>
      </c>
      <c r="J11" s="323">
        <f>2*30*24</f>
        <v>1440</v>
      </c>
      <c r="L11" s="283" t="s">
        <v>229</v>
      </c>
      <c r="M11" s="325">
        <f>J11/8760</f>
        <v>0.16438356164383561</v>
      </c>
      <c r="N11" s="300"/>
    </row>
    <row r="12" spans="1:22" ht="23.25" customHeight="1" thickBot="1" x14ac:dyDescent="0.3">
      <c r="A12" s="326"/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8"/>
    </row>
    <row r="13" spans="1:22" ht="23.25" customHeight="1" thickBot="1" x14ac:dyDescent="0.3"/>
    <row r="14" spans="1:22" ht="18.5" thickBot="1" x14ac:dyDescent="0.45">
      <c r="A14" s="287"/>
      <c r="B14" s="344" t="s">
        <v>236</v>
      </c>
      <c r="C14" s="345"/>
      <c r="D14" s="345"/>
      <c r="E14" s="345"/>
      <c r="F14" s="345"/>
      <c r="G14" s="345"/>
      <c r="H14" s="345"/>
      <c r="I14" s="345"/>
      <c r="J14" s="289"/>
      <c r="K14" s="291"/>
      <c r="L14" s="291"/>
      <c r="M14" s="291"/>
      <c r="N14" s="292"/>
    </row>
    <row r="15" spans="1:22" ht="13.5" thickTop="1" x14ac:dyDescent="0.3">
      <c r="A15" s="293"/>
      <c r="B15" s="346" t="s">
        <v>237</v>
      </c>
      <c r="C15" s="347"/>
      <c r="D15" s="347"/>
      <c r="E15" s="347"/>
      <c r="F15" s="347"/>
      <c r="G15" s="347"/>
      <c r="H15" s="347"/>
      <c r="I15" s="348"/>
      <c r="J15" s="298"/>
      <c r="L15" s="349" t="s">
        <v>238</v>
      </c>
      <c r="M15" s="349"/>
      <c r="N15" s="300"/>
    </row>
    <row r="16" spans="1:22" ht="15.5" x14ac:dyDescent="0.35">
      <c r="A16" s="293"/>
      <c r="B16" s="350" t="s">
        <v>239</v>
      </c>
      <c r="C16" s="351" t="s">
        <v>240</v>
      </c>
      <c r="D16" s="352" t="s">
        <v>24</v>
      </c>
      <c r="E16" s="351" t="s">
        <v>273</v>
      </c>
      <c r="F16" s="351"/>
      <c r="G16" s="351"/>
      <c r="H16" s="353"/>
      <c r="I16" s="354"/>
      <c r="L16" s="349"/>
      <c r="M16" s="349"/>
      <c r="N16" s="300"/>
      <c r="R16" s="355"/>
      <c r="S16" s="319"/>
      <c r="V16" s="318"/>
    </row>
    <row r="17" spans="1:14" x14ac:dyDescent="0.25">
      <c r="A17" s="293"/>
      <c r="B17" s="356"/>
      <c r="C17" s="357" t="s">
        <v>242</v>
      </c>
      <c r="D17" s="358" t="s">
        <v>243</v>
      </c>
      <c r="E17" s="357" t="s">
        <v>176</v>
      </c>
      <c r="F17" s="357"/>
      <c r="G17" s="357"/>
      <c r="H17" s="359"/>
      <c r="I17" s="360"/>
      <c r="N17" s="300"/>
    </row>
    <row r="18" spans="1:14" x14ac:dyDescent="0.25">
      <c r="A18" s="293"/>
      <c r="B18" s="361" t="s">
        <v>244</v>
      </c>
      <c r="C18" s="362">
        <v>1500</v>
      </c>
      <c r="D18" s="363">
        <v>0.82</v>
      </c>
      <c r="E18" s="364">
        <f>C18*D18/1000</f>
        <v>1.23</v>
      </c>
      <c r="F18" s="365"/>
      <c r="G18" s="366"/>
      <c r="H18" s="367"/>
      <c r="I18" s="368"/>
      <c r="J18" s="283" t="s">
        <v>245</v>
      </c>
      <c r="N18" s="300"/>
    </row>
    <row r="19" spans="1:14" x14ac:dyDescent="0.25">
      <c r="A19" s="293"/>
      <c r="B19" s="361" t="s">
        <v>246</v>
      </c>
      <c r="C19" s="362">
        <v>425</v>
      </c>
      <c r="D19" s="363">
        <v>0.78500000000000003</v>
      </c>
      <c r="E19" s="364">
        <f>C19*D19/1000</f>
        <v>0.333625</v>
      </c>
      <c r="F19" s="365"/>
      <c r="G19" s="369"/>
      <c r="H19" s="370"/>
      <c r="I19" s="371"/>
      <c r="J19" s="324">
        <f>252*8</f>
        <v>2016</v>
      </c>
      <c r="K19" s="283" t="s">
        <v>247</v>
      </c>
      <c r="N19" s="300"/>
    </row>
    <row r="20" spans="1:14" x14ac:dyDescent="0.25">
      <c r="A20" s="293"/>
      <c r="B20" s="361" t="s">
        <v>248</v>
      </c>
      <c r="C20" s="372">
        <v>99</v>
      </c>
      <c r="D20" s="373">
        <v>0.79400000000000004</v>
      </c>
      <c r="E20" s="364">
        <f>C20*D20/1000</f>
        <v>7.8606000000000009E-2</v>
      </c>
      <c r="F20" s="365"/>
      <c r="G20" s="369"/>
      <c r="H20" s="370"/>
      <c r="I20" s="371"/>
      <c r="L20" s="374"/>
      <c r="M20" s="374"/>
      <c r="N20" s="300"/>
    </row>
    <row r="21" spans="1:14" x14ac:dyDescent="0.25">
      <c r="A21" s="293"/>
      <c r="B21" s="438" t="s">
        <v>272</v>
      </c>
      <c r="C21" s="372">
        <v>15</v>
      </c>
      <c r="D21" s="373">
        <v>1</v>
      </c>
      <c r="E21" s="364">
        <f>C21*D21/1000</f>
        <v>1.4999999999999999E-2</v>
      </c>
      <c r="F21" s="365"/>
      <c r="G21" s="369"/>
      <c r="H21" s="370"/>
      <c r="I21" s="371"/>
      <c r="L21" s="374"/>
      <c r="M21" s="374"/>
      <c r="N21" s="300"/>
    </row>
    <row r="22" spans="1:14" ht="13.5" thickBot="1" x14ac:dyDescent="0.35">
      <c r="A22" s="293"/>
      <c r="B22" s="375" t="s">
        <v>60</v>
      </c>
      <c r="C22" s="376">
        <f>SUM(C18:C21)</f>
        <v>2039</v>
      </c>
      <c r="D22" s="376" t="s">
        <v>216</v>
      </c>
      <c r="E22" s="377">
        <f>SUM(E18:E21)</f>
        <v>1.6572309999999999</v>
      </c>
      <c r="F22" s="378"/>
      <c r="G22" s="379"/>
      <c r="H22" s="380"/>
      <c r="I22" s="381"/>
      <c r="L22" s="374"/>
      <c r="M22" s="374"/>
      <c r="N22" s="300"/>
    </row>
    <row r="23" spans="1:14" ht="6.75" customHeight="1" thickTop="1" thickBot="1" x14ac:dyDescent="0.3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8"/>
    </row>
    <row r="24" spans="1:14" ht="5.25" customHeight="1" thickBot="1" x14ac:dyDescent="0.3"/>
    <row r="25" spans="1:14" ht="18.5" thickBot="1" x14ac:dyDescent="0.45">
      <c r="A25" s="287"/>
      <c r="B25" s="344" t="s">
        <v>249</v>
      </c>
      <c r="C25" s="345"/>
      <c r="D25" s="345"/>
      <c r="E25" s="345"/>
      <c r="F25" s="345"/>
      <c r="G25" s="345"/>
      <c r="H25" s="345"/>
      <c r="I25" s="345"/>
      <c r="J25" s="289"/>
      <c r="K25" s="291"/>
      <c r="L25" s="291"/>
      <c r="M25" s="291"/>
      <c r="N25" s="292"/>
    </row>
    <row r="26" spans="1:14" ht="13" thickTop="1" x14ac:dyDescent="0.25">
      <c r="A26" s="293"/>
      <c r="B26" s="350" t="s">
        <v>239</v>
      </c>
      <c r="C26" s="351" t="s">
        <v>240</v>
      </c>
      <c r="D26" s="352" t="s">
        <v>250</v>
      </c>
      <c r="E26" s="351" t="s">
        <v>241</v>
      </c>
      <c r="F26" s="351"/>
      <c r="G26" s="351"/>
      <c r="H26" s="353"/>
      <c r="I26" s="354"/>
      <c r="N26" s="300"/>
    </row>
    <row r="27" spans="1:14" x14ac:dyDescent="0.25">
      <c r="A27" s="293"/>
      <c r="B27" s="356"/>
      <c r="C27" s="357" t="s">
        <v>176</v>
      </c>
      <c r="D27" s="358" t="s">
        <v>251</v>
      </c>
      <c r="E27" s="357" t="s">
        <v>176</v>
      </c>
      <c r="F27" s="357"/>
      <c r="G27" s="357"/>
      <c r="H27" s="359"/>
      <c r="I27" s="360"/>
      <c r="N27" s="300"/>
    </row>
    <row r="28" spans="1:14" ht="13.5" thickBot="1" x14ac:dyDescent="0.35">
      <c r="A28" s="293"/>
      <c r="B28" s="382" t="s">
        <v>252</v>
      </c>
      <c r="C28" s="383">
        <v>2503.404</v>
      </c>
      <c r="D28" s="384">
        <v>2E-3</v>
      </c>
      <c r="E28" s="385">
        <f>C28*D28</f>
        <v>5.0068080000000004</v>
      </c>
      <c r="F28" s="386"/>
      <c r="G28" s="387"/>
      <c r="H28" s="388"/>
      <c r="I28" s="389"/>
      <c r="N28" s="300"/>
    </row>
    <row r="29" spans="1:14" ht="9" customHeight="1" thickTop="1" x14ac:dyDescent="0.25">
      <c r="A29" s="293"/>
      <c r="N29" s="300"/>
    </row>
    <row r="30" spans="1:14" ht="13" x14ac:dyDescent="0.3">
      <c r="A30" s="293"/>
      <c r="B30" s="312" t="s">
        <v>253</v>
      </c>
      <c r="L30" s="390" t="s">
        <v>254</v>
      </c>
      <c r="M30" s="390"/>
      <c r="N30" s="300"/>
    </row>
    <row r="31" spans="1:14" ht="13" thickBot="1" x14ac:dyDescent="0.3">
      <c r="A31" s="293"/>
      <c r="B31" s="391" t="s">
        <v>255</v>
      </c>
      <c r="C31" s="391"/>
      <c r="D31" s="391"/>
      <c r="E31" s="391"/>
      <c r="H31" s="392"/>
      <c r="L31" s="390"/>
      <c r="M31" s="390"/>
      <c r="N31" s="300"/>
    </row>
    <row r="32" spans="1:14" ht="13" thickTop="1" x14ac:dyDescent="0.25">
      <c r="A32" s="293"/>
      <c r="B32" s="393" t="s">
        <v>256</v>
      </c>
      <c r="C32" s="394"/>
      <c r="D32" s="395">
        <f>252*8*3</f>
        <v>6048</v>
      </c>
      <c r="E32" s="396"/>
      <c r="F32" s="397"/>
      <c r="G32" s="283" t="s">
        <v>257</v>
      </c>
      <c r="H32" s="397"/>
      <c r="L32" s="390"/>
      <c r="M32" s="390"/>
      <c r="N32" s="300"/>
    </row>
    <row r="33" spans="1:18" x14ac:dyDescent="0.25">
      <c r="A33" s="293"/>
      <c r="B33" s="398" t="s">
        <v>258</v>
      </c>
      <c r="C33" s="399"/>
      <c r="D33" s="400" t="s">
        <v>259</v>
      </c>
      <c r="E33" s="401" t="s">
        <v>241</v>
      </c>
      <c r="F33" s="402"/>
      <c r="G33" s="397"/>
      <c r="H33" s="402"/>
      <c r="L33" s="390"/>
      <c r="M33" s="390"/>
      <c r="N33" s="300"/>
    </row>
    <row r="34" spans="1:18" x14ac:dyDescent="0.25">
      <c r="A34" s="293"/>
      <c r="B34" s="403"/>
      <c r="C34" s="404"/>
      <c r="D34" s="405" t="s">
        <v>260</v>
      </c>
      <c r="E34" s="406" t="s">
        <v>176</v>
      </c>
      <c r="F34" s="402"/>
      <c r="G34" s="397"/>
      <c r="H34" s="402"/>
      <c r="L34" s="390"/>
      <c r="M34" s="390"/>
      <c r="N34" s="300"/>
    </row>
    <row r="35" spans="1:18" x14ac:dyDescent="0.25">
      <c r="A35" s="293"/>
      <c r="B35" s="407"/>
      <c r="C35" s="408"/>
      <c r="D35" s="409"/>
      <c r="E35" s="410">
        <f>D35*D$32/1000000</f>
        <v>0</v>
      </c>
      <c r="F35" s="397">
        <f>D35*E35</f>
        <v>0</v>
      </c>
      <c r="G35" s="397"/>
      <c r="H35" s="397"/>
      <c r="N35" s="300"/>
    </row>
    <row r="36" spans="1:18" ht="13" x14ac:dyDescent="0.3">
      <c r="A36" s="293"/>
      <c r="B36" s="411"/>
      <c r="C36" s="412"/>
      <c r="D36" s="413"/>
      <c r="E36" s="414">
        <f>D36*D$32/1000000</f>
        <v>0</v>
      </c>
      <c r="F36" s="397">
        <f>D36*E36</f>
        <v>0</v>
      </c>
      <c r="G36" s="397"/>
      <c r="H36" s="397" t="s">
        <v>261</v>
      </c>
      <c r="J36" s="319">
        <f>E38/0.8</f>
        <v>0</v>
      </c>
      <c r="K36" s="312" t="s">
        <v>176</v>
      </c>
      <c r="L36" s="312" t="s">
        <v>262</v>
      </c>
      <c r="N36" s="300"/>
    </row>
    <row r="37" spans="1:18" x14ac:dyDescent="0.25">
      <c r="A37" s="293"/>
      <c r="B37" s="415"/>
      <c r="C37" s="416"/>
      <c r="D37" s="417"/>
      <c r="E37" s="418">
        <f>D37*D$32/1000000</f>
        <v>0</v>
      </c>
      <c r="F37" s="397">
        <f>D37*E37</f>
        <v>0</v>
      </c>
      <c r="G37" s="397"/>
      <c r="H37" s="397"/>
      <c r="N37" s="300"/>
    </row>
    <row r="38" spans="1:18" ht="13.5" thickBot="1" x14ac:dyDescent="0.35">
      <c r="A38" s="293"/>
      <c r="B38" s="419"/>
      <c r="C38" s="420"/>
      <c r="D38" s="421" t="s">
        <v>60</v>
      </c>
      <c r="E38" s="422">
        <f>SUM(E35:E37)</f>
        <v>0</v>
      </c>
      <c r="F38" s="397">
        <f>SUM(F35:F37)</f>
        <v>0</v>
      </c>
      <c r="G38" s="397"/>
      <c r="H38" s="283" t="s">
        <v>263</v>
      </c>
      <c r="J38" s="423">
        <f>E28-J36</f>
        <v>5.0068080000000004</v>
      </c>
      <c r="K38" s="312" t="s">
        <v>176</v>
      </c>
      <c r="N38" s="300"/>
    </row>
    <row r="39" spans="1:18" ht="6.75" customHeight="1" thickTop="1" x14ac:dyDescent="0.25">
      <c r="A39" s="293"/>
      <c r="N39" s="300"/>
    </row>
    <row r="40" spans="1:18" x14ac:dyDescent="0.25">
      <c r="A40" s="293"/>
      <c r="B40" s="424" t="s">
        <v>264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5"/>
    </row>
    <row r="41" spans="1:18" x14ac:dyDescent="0.25">
      <c r="A41" s="293"/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5"/>
    </row>
    <row r="42" spans="1:18" ht="8.25" customHeight="1" x14ac:dyDescent="0.25">
      <c r="A42" s="293"/>
      <c r="B42" s="424"/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5"/>
    </row>
    <row r="43" spans="1:18" x14ac:dyDescent="0.25">
      <c r="A43" s="293"/>
      <c r="B43" s="424" t="s">
        <v>265</v>
      </c>
      <c r="C43" s="424"/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5"/>
    </row>
    <row r="44" spans="1:18" ht="6" customHeight="1" thickBot="1" x14ac:dyDescent="0.3">
      <c r="A44" s="326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8"/>
    </row>
    <row r="45" spans="1:18" ht="6.75" customHeight="1" thickBot="1" x14ac:dyDescent="0.3"/>
    <row r="46" spans="1:18" ht="42" customHeight="1" x14ac:dyDescent="0.4">
      <c r="A46" s="287"/>
      <c r="B46" s="426" t="s">
        <v>266</v>
      </c>
      <c r="C46" s="426"/>
      <c r="D46" s="426"/>
      <c r="E46" s="426"/>
      <c r="F46" s="426"/>
      <c r="G46" s="426"/>
      <c r="H46" s="426"/>
      <c r="I46" s="426"/>
      <c r="J46" s="426"/>
      <c r="K46" s="426"/>
      <c r="L46" s="426"/>
      <c r="M46" s="426"/>
      <c r="N46" s="292"/>
    </row>
    <row r="47" spans="1:18" ht="19.5" customHeight="1" x14ac:dyDescent="0.4">
      <c r="A47" s="293"/>
      <c r="B47" s="427" t="s">
        <v>267</v>
      </c>
      <c r="C47" s="427"/>
      <c r="D47" s="428">
        <v>6048</v>
      </c>
      <c r="E47" s="283" t="s">
        <v>257</v>
      </c>
      <c r="F47" s="429"/>
      <c r="G47" s="429"/>
      <c r="H47" s="429"/>
      <c r="I47" s="430" t="s">
        <v>268</v>
      </c>
      <c r="J47" s="429"/>
      <c r="K47" s="429"/>
      <c r="L47" s="428">
        <v>11.141</v>
      </c>
      <c r="M47" s="429" t="s">
        <v>176</v>
      </c>
      <c r="N47" s="300"/>
      <c r="P47" s="431"/>
    </row>
    <row r="48" spans="1:18" ht="21.75" customHeight="1" thickBot="1" x14ac:dyDescent="0.45">
      <c r="A48" s="326"/>
      <c r="B48" s="432" t="s">
        <v>267</v>
      </c>
      <c r="C48" s="432"/>
      <c r="D48" s="433">
        <v>6048</v>
      </c>
      <c r="E48" s="327" t="s">
        <v>257</v>
      </c>
      <c r="F48" s="434"/>
      <c r="G48" s="434"/>
      <c r="H48" s="434"/>
      <c r="I48" s="435" t="s">
        <v>269</v>
      </c>
      <c r="J48" s="434"/>
      <c r="K48" s="434"/>
      <c r="L48" s="433">
        <f>98.924+25.619+36.525</f>
        <v>161.06800000000001</v>
      </c>
      <c r="M48" s="434" t="s">
        <v>176</v>
      </c>
      <c r="N48" s="328"/>
      <c r="P48" s="431"/>
      <c r="Q48" s="397"/>
      <c r="R48" s="397"/>
    </row>
    <row r="49" spans="3:18" ht="21.75" customHeight="1" x14ac:dyDescent="0.4">
      <c r="C49" s="436" t="s">
        <v>175</v>
      </c>
      <c r="D49" s="437">
        <f>AVERAGE(D47:D48)</f>
        <v>6048</v>
      </c>
      <c r="E49" s="283" t="s">
        <v>270</v>
      </c>
      <c r="P49" s="431"/>
      <c r="Q49" s="397"/>
      <c r="R49" s="397"/>
    </row>
    <row r="50" spans="3:18" ht="21.75" customHeight="1" x14ac:dyDescent="0.35">
      <c r="C50" s="436"/>
      <c r="P50" s="431"/>
      <c r="Q50" s="397"/>
      <c r="R50" s="397"/>
    </row>
  </sheetData>
  <mergeCells count="28">
    <mergeCell ref="B48:C48"/>
    <mergeCell ref="B37:C37"/>
    <mergeCell ref="B38:C38"/>
    <mergeCell ref="B40:N42"/>
    <mergeCell ref="B43:N43"/>
    <mergeCell ref="B46:M46"/>
    <mergeCell ref="B47:C47"/>
    <mergeCell ref="B26:B27"/>
    <mergeCell ref="L30:M34"/>
    <mergeCell ref="B32:C32"/>
    <mergeCell ref="B33:C34"/>
    <mergeCell ref="B35:C35"/>
    <mergeCell ref="B36:C36"/>
    <mergeCell ref="B8:E8"/>
    <mergeCell ref="B15:I15"/>
    <mergeCell ref="L15:M16"/>
    <mergeCell ref="B16:B17"/>
    <mergeCell ref="G18:G22"/>
    <mergeCell ref="H18:H22"/>
    <mergeCell ref="I18:I22"/>
    <mergeCell ref="L20:M22"/>
    <mergeCell ref="B3:E3"/>
    <mergeCell ref="G3:J3"/>
    <mergeCell ref="L3:M3"/>
    <mergeCell ref="O3:Q5"/>
    <mergeCell ref="B4:E4"/>
    <mergeCell ref="G4:J4"/>
    <mergeCell ref="L4:M4"/>
  </mergeCells>
  <pageMargins left="0.39370078740157483" right="0.31496062992125984" top="0.35" bottom="0.35433070866141736" header="0.31496062992125984" footer="0.31496062992125984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E20A-B125-4856-A7E2-7775D364AD65}">
  <sheetPr>
    <tabColor rgb="FF92D050"/>
  </sheetPr>
  <dimension ref="A1:N9"/>
  <sheetViews>
    <sheetView zoomScale="160" zoomScaleNormal="160" workbookViewId="0">
      <selection activeCell="L10" sqref="L10"/>
    </sheetView>
  </sheetViews>
  <sheetFormatPr defaultRowHeight="14.5" x14ac:dyDescent="0.35"/>
  <cols>
    <col min="1" max="1" width="10.7265625" style="120" bestFit="1" customWidth="1"/>
    <col min="2" max="2" width="8.7265625" style="120"/>
    <col min="3" max="3" width="20.54296875" style="120" customWidth="1"/>
    <col min="4" max="4" width="8.7265625" style="120"/>
    <col min="5" max="5" width="9" style="120" customWidth="1"/>
    <col min="6" max="13" width="8.7265625" style="120"/>
    <col min="14" max="14" width="23.26953125" style="120" bestFit="1" customWidth="1"/>
    <col min="15" max="16384" width="8.7265625" style="120"/>
  </cols>
  <sheetData>
    <row r="1" spans="1:14" ht="23.5" x14ac:dyDescent="0.35">
      <c r="A1" s="120" t="s">
        <v>130</v>
      </c>
      <c r="J1" s="207">
        <v>2019</v>
      </c>
      <c r="K1" s="207"/>
      <c r="L1" s="121"/>
      <c r="M1" s="121"/>
    </row>
    <row r="2" spans="1:14" ht="23.5" x14ac:dyDescent="0.35">
      <c r="J2" s="208"/>
      <c r="K2" s="208"/>
      <c r="L2" s="121"/>
      <c r="M2" s="121"/>
    </row>
    <row r="3" spans="1:14" ht="70" x14ac:dyDescent="0.35">
      <c r="A3" s="122" t="s">
        <v>131</v>
      </c>
      <c r="B3" s="122" t="s">
        <v>132</v>
      </c>
      <c r="C3" s="122" t="s">
        <v>133</v>
      </c>
      <c r="D3" s="122" t="s">
        <v>134</v>
      </c>
      <c r="E3" s="122" t="s">
        <v>135</v>
      </c>
      <c r="F3" s="123" t="s">
        <v>136</v>
      </c>
      <c r="G3" s="123" t="s">
        <v>137</v>
      </c>
      <c r="H3" s="123" t="s">
        <v>138</v>
      </c>
      <c r="I3" s="123" t="s">
        <v>139</v>
      </c>
      <c r="J3" s="124" t="s">
        <v>140</v>
      </c>
      <c r="K3" s="124" t="s">
        <v>141</v>
      </c>
      <c r="L3" s="124" t="s">
        <v>142</v>
      </c>
      <c r="M3" s="124" t="s">
        <v>143</v>
      </c>
      <c r="N3" s="125" t="s">
        <v>144</v>
      </c>
    </row>
    <row r="4" spans="1:14" x14ac:dyDescent="0.35">
      <c r="A4" s="126" t="s">
        <v>145</v>
      </c>
      <c r="B4" s="126" t="s">
        <v>146</v>
      </c>
      <c r="C4" s="126" t="s">
        <v>147</v>
      </c>
      <c r="D4" s="126" t="s">
        <v>148</v>
      </c>
      <c r="E4" s="127">
        <v>360</v>
      </c>
      <c r="F4" s="128">
        <v>31.3</v>
      </c>
      <c r="G4" s="127">
        <v>45.2</v>
      </c>
      <c r="H4" s="129">
        <f>G4*0.85</f>
        <v>38.42</v>
      </c>
      <c r="I4" s="130">
        <f>H4*11.84</f>
        <v>454.89280000000002</v>
      </c>
      <c r="J4" s="134">
        <f>365/14*20/60</f>
        <v>8.6904761904761916</v>
      </c>
      <c r="K4" s="131">
        <f>(F4*0.85)*J4/1000</f>
        <v>0.23121011904761909</v>
      </c>
      <c r="L4" s="131">
        <f>K4*26.8/1000</f>
        <v>6.1964311904761918E-3</v>
      </c>
      <c r="M4" s="131">
        <f>K4*6/1000</f>
        <v>1.3872607142857145E-3</v>
      </c>
      <c r="N4" s="127" t="s">
        <v>149</v>
      </c>
    </row>
    <row r="5" spans="1:14" x14ac:dyDescent="0.35">
      <c r="A5" s="126" t="s">
        <v>150</v>
      </c>
      <c r="B5" s="126" t="s">
        <v>146</v>
      </c>
      <c r="C5" s="126" t="s">
        <v>151</v>
      </c>
      <c r="D5" s="126" t="s">
        <v>148</v>
      </c>
      <c r="E5" s="127">
        <v>400</v>
      </c>
      <c r="F5" s="128">
        <v>40</v>
      </c>
      <c r="G5" s="132">
        <f>F5/0.7</f>
        <v>57.142857142857146</v>
      </c>
      <c r="H5" s="129">
        <f t="shared" ref="H5:H8" si="0">G5*0.85</f>
        <v>48.571428571428569</v>
      </c>
      <c r="I5" s="130">
        <f>H5*11.84</f>
        <v>575.08571428571429</v>
      </c>
      <c r="J5" s="134">
        <f t="shared" ref="J5:J8" si="1">365/14*20/60</f>
        <v>8.6904761904761916</v>
      </c>
      <c r="K5" s="131">
        <f t="shared" ref="K5:K8" si="2">(F5*0.85)*J5/1000</f>
        <v>0.29547619047619056</v>
      </c>
      <c r="L5" s="131">
        <f t="shared" ref="L5:L8" si="3">K5*26.8/1000</f>
        <v>7.9187619047619076E-3</v>
      </c>
      <c r="M5" s="131">
        <f t="shared" ref="M5:M8" si="4">K5*6/1000</f>
        <v>1.7728571428571433E-3</v>
      </c>
      <c r="N5" s="127" t="s">
        <v>152</v>
      </c>
    </row>
    <row r="6" spans="1:14" x14ac:dyDescent="0.35">
      <c r="A6" s="126" t="s">
        <v>153</v>
      </c>
      <c r="B6" s="126" t="s">
        <v>146</v>
      </c>
      <c r="C6" s="126" t="s">
        <v>154</v>
      </c>
      <c r="D6" s="126" t="s">
        <v>148</v>
      </c>
      <c r="E6" s="127">
        <v>350</v>
      </c>
      <c r="F6" s="128">
        <v>41</v>
      </c>
      <c r="G6" s="132">
        <f t="shared" ref="G6:G7" si="5">F6/0.7</f>
        <v>58.571428571428577</v>
      </c>
      <c r="H6" s="129">
        <f t="shared" si="0"/>
        <v>49.785714285714292</v>
      </c>
      <c r="I6" s="130">
        <f>H6*11.84</f>
        <v>589.46285714285716</v>
      </c>
      <c r="J6" s="134">
        <f t="shared" si="1"/>
        <v>8.6904761904761916</v>
      </c>
      <c r="K6" s="131">
        <f t="shared" si="2"/>
        <v>0.30286309523809529</v>
      </c>
      <c r="L6" s="131">
        <f t="shared" si="3"/>
        <v>8.1167309523809527E-3</v>
      </c>
      <c r="M6" s="131">
        <f t="shared" si="4"/>
        <v>1.8171785714285718E-3</v>
      </c>
      <c r="N6" s="133" t="s">
        <v>155</v>
      </c>
    </row>
    <row r="7" spans="1:14" x14ac:dyDescent="0.35">
      <c r="A7" s="126" t="s">
        <v>156</v>
      </c>
      <c r="B7" s="126" t="s">
        <v>146</v>
      </c>
      <c r="C7" s="126" t="s">
        <v>157</v>
      </c>
      <c r="D7" s="126" t="s">
        <v>148</v>
      </c>
      <c r="E7" s="127">
        <v>350</v>
      </c>
      <c r="F7" s="128">
        <v>34</v>
      </c>
      <c r="G7" s="132">
        <f t="shared" si="5"/>
        <v>48.571428571428577</v>
      </c>
      <c r="H7" s="129">
        <f t="shared" si="0"/>
        <v>41.285714285714292</v>
      </c>
      <c r="I7" s="130">
        <f>H7*11.84</f>
        <v>488.82285714285723</v>
      </c>
      <c r="J7" s="134">
        <f t="shared" si="1"/>
        <v>8.6904761904761916</v>
      </c>
      <c r="K7" s="131">
        <f t="shared" si="2"/>
        <v>0.25115476190476194</v>
      </c>
      <c r="L7" s="131">
        <f t="shared" si="3"/>
        <v>6.7309476190476197E-3</v>
      </c>
      <c r="M7" s="131">
        <f t="shared" si="4"/>
        <v>1.5069285714285716E-3</v>
      </c>
      <c r="N7" s="127" t="s">
        <v>158</v>
      </c>
    </row>
    <row r="8" spans="1:14" x14ac:dyDescent="0.35">
      <c r="A8" s="126" t="s">
        <v>159</v>
      </c>
      <c r="B8" s="126" t="s">
        <v>146</v>
      </c>
      <c r="C8" s="127" t="s">
        <v>160</v>
      </c>
      <c r="D8" s="126" t="s">
        <v>148</v>
      </c>
      <c r="E8" s="127">
        <v>932</v>
      </c>
      <c r="F8" s="128">
        <v>61.9</v>
      </c>
      <c r="G8" s="127">
        <v>83.5</v>
      </c>
      <c r="H8" s="129">
        <f t="shared" si="0"/>
        <v>70.974999999999994</v>
      </c>
      <c r="I8" s="130">
        <f>H8*11.84</f>
        <v>840.34399999999994</v>
      </c>
      <c r="J8" s="134">
        <f t="shared" si="1"/>
        <v>8.6904761904761916</v>
      </c>
      <c r="K8" s="131">
        <f t="shared" si="2"/>
        <v>0.45724940476190479</v>
      </c>
      <c r="L8" s="131">
        <f t="shared" si="3"/>
        <v>1.2254284047619048E-2</v>
      </c>
      <c r="M8" s="131">
        <f t="shared" si="4"/>
        <v>2.7434964285714286E-3</v>
      </c>
      <c r="N8" s="133" t="s">
        <v>161</v>
      </c>
    </row>
    <row r="9" spans="1:14" x14ac:dyDescent="0.35">
      <c r="L9" s="135">
        <f>SUM(L4:L8)</f>
        <v>4.1217155714285719E-2</v>
      </c>
      <c r="M9" s="135">
        <f>SUM(M4:M8)</f>
        <v>9.2277214285714296E-3</v>
      </c>
    </row>
  </sheetData>
  <mergeCells count="1">
    <mergeCell ref="J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kategorizace, sčítání</vt:lpstr>
      <vt:lpstr>SPE mycí stoly</vt:lpstr>
      <vt:lpstr>bilance VOC</vt:lpstr>
      <vt:lpstr>tryskače</vt:lpstr>
      <vt:lpstr>kotelna EF</vt:lpstr>
      <vt:lpstr>kotelna měření</vt:lpstr>
      <vt:lpstr>SPE dieselagregáty</vt:lpstr>
      <vt:lpstr>'bilance VOC'!Oblast_tisku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ENVIGROUP</dc:creator>
  <cp:lastModifiedBy>Zdeněk Fildán</cp:lastModifiedBy>
  <dcterms:created xsi:type="dcterms:W3CDTF">2024-09-19T07:25:49Z</dcterms:created>
  <dcterms:modified xsi:type="dcterms:W3CDTF">2025-05-18T09:50:53Z</dcterms:modified>
</cp:coreProperties>
</file>